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wvl\LO_IM\Algemeen\OpdrachtenKR\Industriële emissies\Stookinstallaties\5. Tools\BALees\Huidige versie\"/>
    </mc:Choice>
  </mc:AlternateContent>
  <workbookProtection workbookAlgorithmName="SHA-512" workbookHashValue="EXlQdexwXC9MLoSOjHTr0WwLRWjqyXZ7rmpoTnO9RXQQiIHoyIRVB7BKT6gr3GcT8NnCd31/4UnrcaYO9ugtyg==" workbookSaltValue="eVqgirJZOoRFt9D2VvQTFg==" workbookSpinCount="100000" lockStructure="1"/>
  <bookViews>
    <workbookView xWindow="0" yWindow="0" windowWidth="16110" windowHeight="6090"/>
  </bookViews>
  <sheets>
    <sheet name="Eisen" sheetId="1" r:id="rId1"/>
    <sheet name="Wijzigingen" sheetId="24" state="hidden" r:id="rId2"/>
    <sheet name="Beschrijving" sheetId="9" state="hidden" r:id="rId3"/>
    <sheet name="Data" sheetId="2" state="hidden" r:id="rId4"/>
    <sheet name="Regelgeving" sheetId="3" state="hidden" r:id="rId5"/>
    <sheet name="NOx" sheetId="8" state="hidden" r:id="rId6"/>
    <sheet name="CO" sheetId="19" state="hidden" r:id="rId7"/>
    <sheet name="SO2" sheetId="10" state="hidden" r:id="rId8"/>
    <sheet name="Stof" sheetId="11" state="hidden" r:id="rId9"/>
    <sheet name="CxHy" sheetId="12" state="hidden" r:id="rId10"/>
    <sheet name="HCl" sheetId="20" state="hidden" r:id="rId11"/>
    <sheet name="HF" sheetId="21" state="hidden" r:id="rId12"/>
    <sheet name="NH3" sheetId="22" state="hidden" r:id="rId13"/>
    <sheet name="Kwik" sheetId="13" state="hidden" r:id="rId14"/>
    <sheet name="Cd_en_Tl" sheetId="14" state="hidden" r:id="rId15"/>
    <sheet name="Zware_Metalen" sheetId="15" state="hidden" r:id="rId16"/>
    <sheet name="Dioxines" sheetId="18" state="hidden" r:id="rId17"/>
    <sheet name="Formaldehyde" sheetId="23" state="hidden" r:id="rId18"/>
  </sheets>
  <definedNames>
    <definedName name="ABRAND2">Data!$P$4</definedName>
    <definedName name="_xlnm.Print_Area" localSheetId="14">Cd_en_Tl!$C$1:$AX$34</definedName>
    <definedName name="_xlnm.Print_Area" localSheetId="6">CO!$C$1:$AX$33</definedName>
    <definedName name="_xlnm.Print_Area" localSheetId="9">CxHy!$C$1:$AX$36</definedName>
    <definedName name="_xlnm.Print_Area" localSheetId="16">Dioxines!$C$1:$AX$35</definedName>
    <definedName name="_xlnm.Print_Area" localSheetId="17">Formaldehyde!$C$1:$AX$30</definedName>
    <definedName name="_xlnm.Print_Area" localSheetId="10">HCl!$C$1:$AX$41</definedName>
    <definedName name="_xlnm.Print_Area" localSheetId="11">HF!$C$1:$AX$39</definedName>
    <definedName name="_xlnm.Print_Area" localSheetId="13">Kwik!$C$1:$AX$36</definedName>
    <definedName name="_xlnm.Print_Area" localSheetId="12">'NH3'!$C$1:$AX$34</definedName>
    <definedName name="_xlnm.Print_Area" localSheetId="5">NOx!$C$1:$AX$94</definedName>
    <definedName name="_xlnm.Print_Area" localSheetId="4">Regelgeving!$C$1:$AV$38</definedName>
    <definedName name="_xlnm.Print_Area" localSheetId="7">'SO2'!$C$1:$AX$93</definedName>
    <definedName name="_xlnm.Print_Area" localSheetId="8">Stof!$C$1:$AX$84</definedName>
    <definedName name="_xlnm.Print_Area" localSheetId="15">Zware_Metalen!$C$1:$AX$33</definedName>
    <definedName name="Afvalvernietiging">Data!$P$5</definedName>
    <definedName name="BRAND1">Data!$P$6</definedName>
    <definedName name="BRAND1txt">Data!$AA$4</definedName>
    <definedName name="BRAND2">Data!$P$7</definedName>
    <definedName name="BRAND2txt">Data!$AF$4</definedName>
    <definedName name="BT500uur">Data!$P$8</definedName>
    <definedName name="Doel">Data!$P$9</definedName>
    <definedName name="EnergieUitAfval">Data!$P$10</definedName>
    <definedName name="FBRAND1">Data!$P$12</definedName>
    <definedName name="FBRAND2">Data!$P$13</definedName>
    <definedName name="Geldig">Data!$P$11</definedName>
    <definedName name="INGTOT">Data!$P$15</definedName>
    <definedName name="INGVAN">Data!$P$14</definedName>
    <definedName name="IPPCbest">Data!$J$4</definedName>
    <definedName name="IWTBAL">Data!$F$11</definedName>
    <definedName name="IWTBALtxt">Data!$F$12</definedName>
    <definedName name="IWTH2">Data!$F$14</definedName>
    <definedName name="IWTLCP">Data!$J$10</definedName>
    <definedName name="IWTLCPbest">Data!$F$9</definedName>
    <definedName name="IWTLCPbesttxt">Data!$F$10</definedName>
    <definedName name="IWTMCP">Data!$J$9</definedName>
    <definedName name="IWTMCPbest">Data!$F$7</definedName>
    <definedName name="IWTMCPbesttxt">Data!$F$8</definedName>
    <definedName name="IWTWIbest">Data!$F$13</definedName>
    <definedName name="MCPbest">Data!$J$5</definedName>
    <definedName name="MW">Data!$P$16</definedName>
    <definedName name="O2BRAND1">Data!$P$17</definedName>
    <definedName name="O2BRAND2">Data!$P$18</definedName>
    <definedName name="Offshore">Data!$P$19</definedName>
    <definedName name="ParBAL">Data!$P$20</definedName>
    <definedName name="ParBAL1">Data!$P$21</definedName>
    <definedName name="ParBAL2">Data!$P$22</definedName>
    <definedName name="SCPbest">Data!$J$6</definedName>
    <definedName name="SCPbestbio">Data!$J$7</definedName>
    <definedName name="SI">Data!$P$23</definedName>
    <definedName name="SItxt">Data!$R$4</definedName>
    <definedName name="SPECSI">Data!$P$24</definedName>
    <definedName name="TBRAND1">Data!$P$25</definedName>
    <definedName name="TBRAND1txt">Data!$P$26</definedName>
    <definedName name="TBRAND2">Data!$P$27</definedName>
    <definedName name="TBRAND2txt">Data!$P$28</definedName>
    <definedName name="Tdatum">Data!$F$5</definedName>
    <definedName name="Tdatumtxt">Data!$F$6</definedName>
    <definedName name="TMW">Data!$P$29</definedName>
    <definedName name="TSI">Data!$P$30</definedName>
    <definedName name="TSItxt">Data!$P$31</definedName>
    <definedName name="Uren">Data!$P$32</definedName>
    <definedName name="Versie">Data!$P$33</definedName>
  </definedNames>
  <calcPr calcId="162913"/>
</workbook>
</file>

<file path=xl/calcChain.xml><?xml version="1.0" encoding="utf-8"?>
<calcChain xmlns="http://schemas.openxmlformats.org/spreadsheetml/2006/main">
  <c r="F3" i="1" l="1"/>
  <c r="AQ14" i="3" l="1"/>
  <c r="AA80" i="11" l="1"/>
  <c r="AA90" i="8"/>
  <c r="AA63" i="10" l="1"/>
  <c r="AA62" i="10"/>
  <c r="AA61" i="10"/>
  <c r="AA65" i="8"/>
  <c r="AA66" i="8"/>
  <c r="AA67" i="8"/>
  <c r="AR55" i="11" l="1"/>
  <c r="AA55" i="11"/>
  <c r="AA53" i="11"/>
  <c r="AA52" i="11"/>
  <c r="AR53" i="11"/>
  <c r="Z53" i="11"/>
  <c r="AA51" i="11"/>
  <c r="AR51" i="11"/>
  <c r="Z50" i="11"/>
  <c r="Z52" i="11"/>
  <c r="AR52" i="11"/>
  <c r="AR67" i="8" l="1"/>
  <c r="AQ67" i="8"/>
  <c r="AP67" i="8"/>
  <c r="AR66" i="8"/>
  <c r="AQ66" i="8"/>
  <c r="AP66" i="8"/>
  <c r="AR65" i="8"/>
  <c r="AQ65" i="8"/>
  <c r="AP65" i="8"/>
  <c r="AR54" i="11"/>
  <c r="AA54" i="11"/>
  <c r="AR50" i="11"/>
  <c r="AA50" i="11"/>
  <c r="AC80" i="11" l="1"/>
  <c r="AC90" i="8"/>
  <c r="AR24" i="11" l="1"/>
  <c r="AR24" i="22" l="1"/>
  <c r="AQ24" i="22"/>
  <c r="AP24" i="22"/>
  <c r="AR19" i="22"/>
  <c r="AQ19" i="22"/>
  <c r="AP19" i="22"/>
  <c r="AQ9" i="22" l="1"/>
  <c r="AP9" i="22"/>
  <c r="AO9" i="22"/>
  <c r="AR8" i="22"/>
  <c r="AQ8" i="22"/>
  <c r="AP8" i="22"/>
  <c r="AO8" i="22"/>
  <c r="AO12" i="23"/>
  <c r="AP12" i="23"/>
  <c r="AR12" i="23"/>
  <c r="AO8" i="18"/>
  <c r="AP8" i="18"/>
  <c r="AR8" i="18"/>
  <c r="AO9" i="18"/>
  <c r="AP9" i="18"/>
  <c r="AR9" i="18"/>
  <c r="AO10" i="18"/>
  <c r="AP10" i="18"/>
  <c r="AR10" i="18"/>
  <c r="AO11" i="18"/>
  <c r="AP11" i="18"/>
  <c r="AR11" i="18"/>
  <c r="AO14" i="18"/>
  <c r="AP14" i="18"/>
  <c r="AR14" i="18"/>
  <c r="AO17" i="18"/>
  <c r="AP17" i="18"/>
  <c r="AR17" i="18"/>
  <c r="AO8" i="15"/>
  <c r="AP8" i="15"/>
  <c r="AR8" i="15"/>
  <c r="AO9" i="15"/>
  <c r="AP9" i="15"/>
  <c r="AR9" i="15"/>
  <c r="AO10" i="15"/>
  <c r="AP10" i="15"/>
  <c r="AR10" i="15"/>
  <c r="AO13" i="15"/>
  <c r="AP13" i="15"/>
  <c r="AR13" i="15"/>
  <c r="AO8" i="14"/>
  <c r="AP8" i="14"/>
  <c r="AQ8" i="14"/>
  <c r="AR8" i="14"/>
  <c r="AO9" i="14"/>
  <c r="AP9" i="14"/>
  <c r="AQ9" i="14"/>
  <c r="AR9" i="14"/>
  <c r="AO10" i="14"/>
  <c r="AP10" i="14"/>
  <c r="AQ10" i="14"/>
  <c r="AR10" i="14"/>
  <c r="AO11" i="14"/>
  <c r="AP11" i="14"/>
  <c r="AQ11" i="14"/>
  <c r="AR11" i="14"/>
  <c r="AO14" i="14"/>
  <c r="AP14" i="14"/>
  <c r="AQ14" i="14"/>
  <c r="AR14" i="14"/>
  <c r="AO8" i="13"/>
  <c r="AP8" i="13"/>
  <c r="AQ8" i="13"/>
  <c r="AR8" i="13"/>
  <c r="AO9" i="13"/>
  <c r="AP9" i="13"/>
  <c r="AQ9" i="13"/>
  <c r="AR9" i="13"/>
  <c r="AO10" i="13"/>
  <c r="AP10" i="13"/>
  <c r="AQ10" i="13"/>
  <c r="AR10" i="13"/>
  <c r="AO13" i="13"/>
  <c r="AP13" i="13"/>
  <c r="AQ13" i="13"/>
  <c r="AR13" i="13"/>
  <c r="AO16" i="13"/>
  <c r="AP16" i="13"/>
  <c r="AR16" i="13"/>
  <c r="AO17" i="13"/>
  <c r="AP17" i="13"/>
  <c r="AR17" i="13"/>
  <c r="AO18" i="13"/>
  <c r="AP18" i="13"/>
  <c r="AR18" i="13"/>
  <c r="AO8" i="21"/>
  <c r="AP8" i="21"/>
  <c r="AQ8" i="21"/>
  <c r="AR8" i="21"/>
  <c r="AO9" i="21"/>
  <c r="AP9" i="21"/>
  <c r="AQ9" i="21"/>
  <c r="AO10" i="21"/>
  <c r="AP10" i="21"/>
  <c r="AQ10" i="21"/>
  <c r="AR10" i="21"/>
  <c r="AO13" i="21"/>
  <c r="AP13" i="21"/>
  <c r="AQ13" i="21"/>
  <c r="AR13" i="21"/>
  <c r="AP17" i="21"/>
  <c r="AR17" i="21"/>
  <c r="AO18" i="21"/>
  <c r="AP18" i="21"/>
  <c r="AR18" i="21"/>
  <c r="AO19" i="21"/>
  <c r="AP19" i="21"/>
  <c r="AR19" i="21"/>
  <c r="AO8" i="20"/>
  <c r="AP8" i="20"/>
  <c r="AQ8" i="20"/>
  <c r="AR8" i="20"/>
  <c r="AO9" i="20"/>
  <c r="AP9" i="20"/>
  <c r="AQ9" i="20"/>
  <c r="AO10" i="20"/>
  <c r="AP10" i="20"/>
  <c r="AQ10" i="20"/>
  <c r="AR10" i="20"/>
  <c r="AO13" i="20"/>
  <c r="AP13" i="20"/>
  <c r="AQ13" i="20"/>
  <c r="AR13" i="20"/>
  <c r="AO17" i="20"/>
  <c r="AP17" i="20"/>
  <c r="AR17" i="20"/>
  <c r="AO18" i="20"/>
  <c r="AP18" i="20"/>
  <c r="AR18" i="20"/>
  <c r="AP19" i="20"/>
  <c r="AR19" i="20"/>
  <c r="AP20" i="20"/>
  <c r="AR20" i="20"/>
  <c r="AO21" i="20"/>
  <c r="AP21" i="20"/>
  <c r="AR21" i="20"/>
  <c r="AO8" i="12"/>
  <c r="AP8" i="12"/>
  <c r="AQ8" i="12"/>
  <c r="AR8" i="12"/>
  <c r="AO9" i="12"/>
  <c r="AP9" i="12"/>
  <c r="AQ9" i="12"/>
  <c r="AO10" i="12"/>
  <c r="AP10" i="12"/>
  <c r="AQ10" i="12"/>
  <c r="AR10" i="12"/>
  <c r="AO13" i="12"/>
  <c r="AP13" i="12"/>
  <c r="AQ13" i="12"/>
  <c r="AR13" i="12"/>
  <c r="AO16" i="12"/>
  <c r="AP16" i="12"/>
  <c r="AR16" i="12"/>
  <c r="AO17" i="12"/>
  <c r="AP17" i="12"/>
  <c r="AR17" i="12"/>
  <c r="AP22" i="12"/>
  <c r="AQ22" i="12"/>
  <c r="AR22" i="12"/>
  <c r="AO8" i="11"/>
  <c r="AP8" i="11"/>
  <c r="AQ8" i="11"/>
  <c r="AR8" i="11"/>
  <c r="AO9" i="11"/>
  <c r="AP9" i="11"/>
  <c r="AQ9" i="11"/>
  <c r="AO10" i="11"/>
  <c r="AP10" i="11"/>
  <c r="AQ10" i="11"/>
  <c r="AR10" i="11"/>
  <c r="AO13" i="11"/>
  <c r="AP13" i="11"/>
  <c r="AQ13" i="11"/>
  <c r="AR13" i="11"/>
  <c r="AQ16" i="11"/>
  <c r="AQ17" i="11"/>
  <c r="AO22" i="11"/>
  <c r="AP22" i="11"/>
  <c r="AQ22" i="11"/>
  <c r="AR22" i="11"/>
  <c r="AR23" i="11"/>
  <c r="AR25" i="11"/>
  <c r="AR26" i="11"/>
  <c r="AR27" i="11"/>
  <c r="AR28" i="11"/>
  <c r="AO29" i="11"/>
  <c r="AP29" i="11"/>
  <c r="AQ29" i="11"/>
  <c r="AR29" i="11"/>
  <c r="AO30" i="11"/>
  <c r="AP30" i="11"/>
  <c r="AQ30" i="11"/>
  <c r="AR30" i="11"/>
  <c r="AO31" i="11"/>
  <c r="AP31" i="11"/>
  <c r="AQ31" i="11"/>
  <c r="AR31" i="11"/>
  <c r="AO32" i="11"/>
  <c r="AP32" i="11"/>
  <c r="AQ32" i="11"/>
  <c r="AR32" i="11"/>
  <c r="AR33" i="11"/>
  <c r="AO34" i="11"/>
  <c r="AP34" i="11"/>
  <c r="AQ34" i="11"/>
  <c r="AR34" i="11"/>
  <c r="AO35" i="11"/>
  <c r="AP35" i="11"/>
  <c r="AQ35" i="11"/>
  <c r="AR35" i="11"/>
  <c r="AR36" i="11"/>
  <c r="AR37" i="11"/>
  <c r="AO38" i="11"/>
  <c r="AP38" i="11"/>
  <c r="AQ38" i="11"/>
  <c r="AR38" i="11"/>
  <c r="AO39" i="11"/>
  <c r="AP39" i="11"/>
  <c r="AQ39" i="11"/>
  <c r="AR39" i="11"/>
  <c r="AO40" i="11"/>
  <c r="AP40" i="11"/>
  <c r="AQ40" i="11"/>
  <c r="AR40" i="11"/>
  <c r="AO41" i="11"/>
  <c r="AP41" i="11"/>
  <c r="AQ41" i="11"/>
  <c r="AR41" i="11"/>
  <c r="AR42" i="11"/>
  <c r="AR43" i="11"/>
  <c r="AR44" i="11"/>
  <c r="AO45" i="11"/>
  <c r="AP45" i="11"/>
  <c r="AQ45" i="11"/>
  <c r="AR45" i="11"/>
  <c r="AO46" i="11"/>
  <c r="AP46" i="11"/>
  <c r="AQ46" i="11"/>
  <c r="AR46" i="11"/>
  <c r="AO47" i="11"/>
  <c r="AP47" i="11"/>
  <c r="AQ47" i="11"/>
  <c r="AR47" i="11"/>
  <c r="AR56" i="11"/>
  <c r="AP59" i="11"/>
  <c r="AQ59" i="11"/>
  <c r="AR59" i="11"/>
  <c r="AP60" i="11"/>
  <c r="AQ60" i="11"/>
  <c r="AR60" i="11"/>
  <c r="AP61" i="11"/>
  <c r="AQ61" i="11"/>
  <c r="AR61" i="11"/>
  <c r="AP62" i="11"/>
  <c r="AQ62" i="11"/>
  <c r="AR62" i="11"/>
  <c r="AO63" i="11"/>
  <c r="AP63" i="11"/>
  <c r="AQ63" i="11"/>
  <c r="AR63" i="11"/>
  <c r="AO64" i="11"/>
  <c r="AP64" i="11"/>
  <c r="AQ64" i="11"/>
  <c r="AR64" i="11"/>
  <c r="AP65" i="11"/>
  <c r="AQ65" i="11"/>
  <c r="AR65" i="11"/>
  <c r="AP66" i="11"/>
  <c r="AQ66" i="11"/>
  <c r="AR66" i="11"/>
  <c r="AP67" i="11"/>
  <c r="AQ67" i="11"/>
  <c r="AR67" i="11"/>
  <c r="AO68" i="11"/>
  <c r="AP68" i="11"/>
  <c r="AQ68" i="11"/>
  <c r="AR68" i="11"/>
  <c r="AO69" i="11"/>
  <c r="AP69" i="11"/>
  <c r="AQ69" i="11"/>
  <c r="AR69" i="11"/>
  <c r="AO70" i="11"/>
  <c r="AP70" i="11"/>
  <c r="AQ70" i="11"/>
  <c r="AR70" i="11"/>
  <c r="AP72" i="11"/>
  <c r="AQ72" i="11"/>
  <c r="AR72" i="11"/>
  <c r="AP73" i="11"/>
  <c r="AQ73" i="11"/>
  <c r="AR73" i="11"/>
  <c r="AP74" i="11"/>
  <c r="AQ74" i="11"/>
  <c r="AR74" i="11"/>
  <c r="AO77" i="11"/>
  <c r="AP77" i="11"/>
  <c r="AQ77" i="11"/>
  <c r="AR77" i="11"/>
  <c r="AO80" i="11"/>
  <c r="AP80" i="11"/>
  <c r="AQ80" i="11"/>
  <c r="AR80" i="11"/>
  <c r="AO8" i="10"/>
  <c r="AP8" i="10"/>
  <c r="AQ8" i="10"/>
  <c r="AR8" i="10"/>
  <c r="AO9" i="10"/>
  <c r="AP9" i="10"/>
  <c r="AQ9" i="10"/>
  <c r="AO10" i="10"/>
  <c r="AP10" i="10"/>
  <c r="AQ10" i="10"/>
  <c r="AR10" i="10"/>
  <c r="AO13" i="10"/>
  <c r="AP13" i="10"/>
  <c r="AQ13" i="10"/>
  <c r="AR13" i="10"/>
  <c r="AO30" i="10"/>
  <c r="AP30" i="10"/>
  <c r="AQ30" i="10"/>
  <c r="AR30" i="10"/>
  <c r="AP31" i="10"/>
  <c r="AQ31" i="10"/>
  <c r="AR31" i="10"/>
  <c r="AP32" i="10"/>
  <c r="AQ32" i="10"/>
  <c r="AR32" i="10"/>
  <c r="AP33" i="10"/>
  <c r="AQ33" i="10"/>
  <c r="AR33" i="10"/>
  <c r="AP34" i="10"/>
  <c r="AQ34" i="10"/>
  <c r="AR34" i="10"/>
  <c r="AP35" i="10"/>
  <c r="AQ35" i="10"/>
  <c r="AR35" i="10"/>
  <c r="AP36" i="10"/>
  <c r="AQ36" i="10"/>
  <c r="AR36" i="10"/>
  <c r="AP37" i="10"/>
  <c r="AQ37" i="10"/>
  <c r="AR37" i="10"/>
  <c r="AO38" i="10"/>
  <c r="AP38" i="10"/>
  <c r="AQ38" i="10"/>
  <c r="AR38" i="10"/>
  <c r="AO39" i="10"/>
  <c r="AP39" i="10"/>
  <c r="AQ39" i="10"/>
  <c r="AR39" i="10"/>
  <c r="AP40" i="10"/>
  <c r="AQ40" i="10"/>
  <c r="AR40" i="10"/>
  <c r="AO41" i="10"/>
  <c r="AP41" i="10"/>
  <c r="AQ41" i="10"/>
  <c r="AR41" i="10"/>
  <c r="AP42" i="10"/>
  <c r="AQ42" i="10"/>
  <c r="AR42" i="10"/>
  <c r="AP43" i="10"/>
  <c r="AQ43" i="10"/>
  <c r="AR43" i="10"/>
  <c r="AP44" i="10"/>
  <c r="AQ44" i="10"/>
  <c r="AR44" i="10"/>
  <c r="AO45" i="10"/>
  <c r="AP45" i="10"/>
  <c r="AQ45" i="10"/>
  <c r="AR45" i="10"/>
  <c r="AO46" i="10"/>
  <c r="AP46" i="10"/>
  <c r="AQ46" i="10"/>
  <c r="AR46" i="10"/>
  <c r="AO47" i="10"/>
  <c r="AP47" i="10"/>
  <c r="AQ47" i="10"/>
  <c r="AR47" i="10"/>
  <c r="AP48" i="10"/>
  <c r="AQ48" i="10"/>
  <c r="AR48" i="10"/>
  <c r="AP49" i="10"/>
  <c r="AQ49" i="10"/>
  <c r="AR49" i="10"/>
  <c r="AP50" i="10"/>
  <c r="AQ50" i="10"/>
  <c r="AR50" i="10"/>
  <c r="AP51" i="10"/>
  <c r="AQ51" i="10"/>
  <c r="AR51" i="10"/>
  <c r="AP52" i="10"/>
  <c r="AQ52" i="10"/>
  <c r="AR52" i="10"/>
  <c r="AO53" i="10"/>
  <c r="AP53" i="10"/>
  <c r="AQ53" i="10"/>
  <c r="AR53" i="10"/>
  <c r="AO54" i="10"/>
  <c r="AP54" i="10"/>
  <c r="AQ54" i="10"/>
  <c r="AR54" i="10"/>
  <c r="AP56" i="10"/>
  <c r="AQ56" i="10"/>
  <c r="AR56" i="10"/>
  <c r="AP57" i="10"/>
  <c r="AQ57" i="10"/>
  <c r="AR57" i="10"/>
  <c r="AP58" i="10"/>
  <c r="AQ58" i="10"/>
  <c r="AR58" i="10"/>
  <c r="AP59" i="10"/>
  <c r="AQ59" i="10"/>
  <c r="AR59" i="10"/>
  <c r="AP60" i="10"/>
  <c r="AQ60" i="10"/>
  <c r="AR60" i="10"/>
  <c r="AP61" i="10"/>
  <c r="AQ61" i="10"/>
  <c r="AR61" i="10"/>
  <c r="AP62" i="10"/>
  <c r="AQ62" i="10"/>
  <c r="AR62" i="10"/>
  <c r="AP63" i="10"/>
  <c r="AQ63" i="10"/>
  <c r="AR63" i="10"/>
  <c r="AP66" i="10"/>
  <c r="AQ66" i="10"/>
  <c r="AR66" i="10"/>
  <c r="AP67" i="10"/>
  <c r="AQ67" i="10"/>
  <c r="AR67" i="10"/>
  <c r="AP68" i="10"/>
  <c r="AQ68" i="10"/>
  <c r="AR68" i="10"/>
  <c r="AP69" i="10"/>
  <c r="AQ69" i="10"/>
  <c r="AR69" i="10"/>
  <c r="AP70" i="10"/>
  <c r="AQ70" i="10"/>
  <c r="AR70" i="10"/>
  <c r="AP71" i="10"/>
  <c r="AQ71" i="10"/>
  <c r="AR71" i="10"/>
  <c r="AP72" i="10"/>
  <c r="AQ72" i="10"/>
  <c r="AR72" i="10"/>
  <c r="AP73" i="10"/>
  <c r="AQ73" i="10"/>
  <c r="AR73" i="10"/>
  <c r="AP74" i="10"/>
  <c r="AQ74" i="10"/>
  <c r="AR74" i="10"/>
  <c r="AP75" i="10"/>
  <c r="AQ75" i="10"/>
  <c r="AR75" i="10"/>
  <c r="AP76" i="10"/>
  <c r="AQ76" i="10"/>
  <c r="AR76" i="10"/>
  <c r="AP77" i="10"/>
  <c r="AQ77" i="10"/>
  <c r="AR77" i="10"/>
  <c r="AP79" i="10"/>
  <c r="AP82" i="10" s="1"/>
  <c r="AQ79" i="10"/>
  <c r="AQ81" i="10" s="1"/>
  <c r="AR79" i="10"/>
  <c r="AR81" i="10" s="1"/>
  <c r="AQ80" i="10"/>
  <c r="AR80" i="10"/>
  <c r="AQ83" i="10"/>
  <c r="AP84" i="10"/>
  <c r="AQ84" i="10"/>
  <c r="AR84" i="10"/>
  <c r="AO87" i="10"/>
  <c r="AP87" i="10"/>
  <c r="AQ87" i="10"/>
  <c r="AR87" i="10"/>
  <c r="AO8" i="19"/>
  <c r="AP8" i="19"/>
  <c r="AQ8" i="19"/>
  <c r="AO9" i="19"/>
  <c r="AP9" i="19"/>
  <c r="AQ9" i="19"/>
  <c r="AO14" i="19"/>
  <c r="AP14" i="19"/>
  <c r="AQ14" i="19"/>
  <c r="AR14" i="19"/>
  <c r="AO15" i="19"/>
  <c r="AP15" i="19"/>
  <c r="AQ15" i="19"/>
  <c r="AR15" i="19"/>
  <c r="AO8" i="8"/>
  <c r="AP8" i="8"/>
  <c r="AQ8" i="8"/>
  <c r="AR8" i="8"/>
  <c r="AO9" i="8"/>
  <c r="AP9" i="8"/>
  <c r="AQ9" i="8"/>
  <c r="AO10" i="8"/>
  <c r="AP10" i="8"/>
  <c r="AQ10" i="8"/>
  <c r="AR10" i="8"/>
  <c r="AO13" i="8"/>
  <c r="AP13" i="8"/>
  <c r="AQ13" i="8"/>
  <c r="AR13" i="8"/>
  <c r="AO16" i="8"/>
  <c r="AP16" i="8"/>
  <c r="AQ16" i="8"/>
  <c r="AR16" i="8"/>
  <c r="AO17" i="8"/>
  <c r="AP17" i="8"/>
  <c r="AQ17" i="8"/>
  <c r="AR17" i="8"/>
  <c r="AO18" i="8"/>
  <c r="AP18" i="8"/>
  <c r="AQ18" i="8"/>
  <c r="AR18" i="8"/>
  <c r="AO19" i="8"/>
  <c r="AP19" i="8"/>
  <c r="AQ19" i="8"/>
  <c r="AR19" i="8"/>
  <c r="AO20" i="8"/>
  <c r="AP20" i="8"/>
  <c r="AQ20" i="8"/>
  <c r="AR20" i="8"/>
  <c r="AO21" i="8"/>
  <c r="AP21" i="8"/>
  <c r="AQ21" i="8"/>
  <c r="AR21" i="8"/>
  <c r="AO22" i="8"/>
  <c r="AP22" i="8"/>
  <c r="AQ22" i="8"/>
  <c r="AR22" i="8"/>
  <c r="AO23" i="8"/>
  <c r="AP23" i="8"/>
  <c r="AQ23" i="8"/>
  <c r="AR23" i="8"/>
  <c r="AO24" i="8"/>
  <c r="AP24" i="8"/>
  <c r="AQ24" i="8"/>
  <c r="AR24" i="8"/>
  <c r="AO25" i="8"/>
  <c r="AP25" i="8"/>
  <c r="AQ25" i="8"/>
  <c r="AR25" i="8"/>
  <c r="AO26" i="8"/>
  <c r="AP26" i="8"/>
  <c r="AQ26" i="8"/>
  <c r="AR26" i="8"/>
  <c r="AO27" i="8"/>
  <c r="AP27" i="8"/>
  <c r="AQ27" i="8"/>
  <c r="AR27" i="8"/>
  <c r="AP32" i="8"/>
  <c r="AQ32" i="8"/>
  <c r="AR32" i="8"/>
  <c r="AP33" i="8"/>
  <c r="AQ33" i="8"/>
  <c r="AR33" i="8"/>
  <c r="AP34" i="8"/>
  <c r="AQ34" i="8"/>
  <c r="AR34" i="8"/>
  <c r="AP35" i="8"/>
  <c r="AQ35" i="8"/>
  <c r="AR35" i="8"/>
  <c r="AP36" i="8"/>
  <c r="AQ36" i="8"/>
  <c r="AR36" i="8"/>
  <c r="AP37" i="8"/>
  <c r="AQ37" i="8"/>
  <c r="AR37" i="8"/>
  <c r="AP38" i="8"/>
  <c r="AQ38" i="8"/>
  <c r="AR38" i="8"/>
  <c r="AP39" i="8"/>
  <c r="AQ39" i="8"/>
  <c r="AR39" i="8"/>
  <c r="AP40" i="8"/>
  <c r="AQ40" i="8"/>
  <c r="AR40" i="8"/>
  <c r="AP41" i="8"/>
  <c r="AQ41" i="8"/>
  <c r="AR41" i="8"/>
  <c r="AP42" i="8"/>
  <c r="AQ42" i="8"/>
  <c r="AR42" i="8"/>
  <c r="AP43" i="8"/>
  <c r="AQ43" i="8"/>
  <c r="AR43" i="8"/>
  <c r="AP44" i="8"/>
  <c r="AQ44" i="8"/>
  <c r="AR44" i="8"/>
  <c r="AP45" i="8"/>
  <c r="AQ45" i="8"/>
  <c r="AR45" i="8"/>
  <c r="AP46" i="8"/>
  <c r="AQ46" i="8"/>
  <c r="AR46" i="8"/>
  <c r="AP47" i="8"/>
  <c r="AQ47" i="8"/>
  <c r="AR47" i="8"/>
  <c r="AP48" i="8"/>
  <c r="AQ48" i="8"/>
  <c r="AR48" i="8"/>
  <c r="AP49" i="8"/>
  <c r="AQ49" i="8"/>
  <c r="AR49" i="8"/>
  <c r="AP50" i="8"/>
  <c r="AQ50" i="8"/>
  <c r="AR50" i="8"/>
  <c r="AP51" i="8"/>
  <c r="AQ51" i="8"/>
  <c r="AR51" i="8"/>
  <c r="AP52" i="8"/>
  <c r="AQ52" i="8"/>
  <c r="AR52" i="8"/>
  <c r="AP53" i="8"/>
  <c r="AQ53" i="8"/>
  <c r="AR53" i="8"/>
  <c r="AP54" i="8"/>
  <c r="AQ54" i="8"/>
  <c r="AR54" i="8"/>
  <c r="AP55" i="8"/>
  <c r="AQ55" i="8"/>
  <c r="AR55" i="8"/>
  <c r="AP56" i="8"/>
  <c r="AQ56" i="8"/>
  <c r="AR56" i="8"/>
  <c r="AP57" i="8"/>
  <c r="AQ57" i="8"/>
  <c r="AR57" i="8"/>
  <c r="AP58" i="8"/>
  <c r="AQ58" i="8"/>
  <c r="AR58" i="8"/>
  <c r="AP59" i="8"/>
  <c r="AQ59" i="8"/>
  <c r="AR59" i="8"/>
  <c r="AP60" i="8"/>
  <c r="AQ60" i="8"/>
  <c r="AR60" i="8"/>
  <c r="AP62" i="8"/>
  <c r="AP63" i="8" s="1"/>
  <c r="AQ62" i="8"/>
  <c r="AQ63" i="8" s="1"/>
  <c r="AR62" i="8"/>
  <c r="AR63" i="8" s="1"/>
  <c r="AP70" i="8"/>
  <c r="AQ70" i="8"/>
  <c r="AR70" i="8"/>
  <c r="AP71" i="8"/>
  <c r="AQ71" i="8"/>
  <c r="AR71" i="8"/>
  <c r="AP72" i="8"/>
  <c r="AQ72" i="8"/>
  <c r="AR72" i="8"/>
  <c r="AP73" i="8"/>
  <c r="AQ73" i="8"/>
  <c r="AR73" i="8"/>
  <c r="AP74" i="8"/>
  <c r="AQ74" i="8"/>
  <c r="AR74" i="8"/>
  <c r="AP75" i="8"/>
  <c r="AQ75" i="8"/>
  <c r="AR75" i="8"/>
  <c r="AP76" i="8"/>
  <c r="AQ76" i="8"/>
  <c r="AR76" i="8"/>
  <c r="AP77" i="8"/>
  <c r="AQ77" i="8"/>
  <c r="AR77" i="8"/>
  <c r="AP78" i="8"/>
  <c r="AQ78" i="8"/>
  <c r="AR78" i="8"/>
  <c r="AP79" i="8"/>
  <c r="AQ79" i="8"/>
  <c r="AR79" i="8"/>
  <c r="AP80" i="8"/>
  <c r="AQ80" i="8"/>
  <c r="AR80" i="8"/>
  <c r="AP81" i="8"/>
  <c r="AQ81" i="8"/>
  <c r="AR81" i="8"/>
  <c r="AP84" i="8"/>
  <c r="AQ84" i="8"/>
  <c r="AR84" i="8"/>
  <c r="AO87" i="8"/>
  <c r="AP87" i="8"/>
  <c r="AQ87" i="8"/>
  <c r="AR87" i="8"/>
  <c r="AO90" i="8"/>
  <c r="AP90" i="8"/>
  <c r="AQ90" i="8"/>
  <c r="AR90" i="8"/>
  <c r="AP81" i="10" l="1"/>
  <c r="AP83" i="10"/>
  <c r="AP80" i="10"/>
  <c r="AR64" i="8"/>
  <c r="AQ82" i="10"/>
  <c r="AR82" i="10"/>
  <c r="AP64" i="8"/>
  <c r="AR83" i="10"/>
  <c r="AQ64" i="8"/>
  <c r="AP14" i="3" l="1"/>
  <c r="AB74" i="10" l="1"/>
  <c r="AA84" i="10"/>
  <c r="AB78" i="8"/>
  <c r="AA84" i="8"/>
  <c r="M9" i="1" l="1"/>
  <c r="P19" i="2"/>
  <c r="AR11" i="3" l="1"/>
  <c r="AO11" i="3"/>
  <c r="J12" i="2"/>
  <c r="H12" i="2"/>
  <c r="AF2" i="23" l="1"/>
  <c r="AG2" i="23" s="1"/>
  <c r="AH2" i="23" s="1"/>
  <c r="AI2" i="23" s="1"/>
  <c r="AJ2" i="23" s="1"/>
  <c r="AK2" i="23" s="1"/>
  <c r="AL2" i="23" s="1"/>
  <c r="AM2" i="23" s="1"/>
  <c r="Q2" i="23"/>
  <c r="R2" i="23" s="1"/>
  <c r="S2" i="23" s="1"/>
  <c r="T2" i="23" s="1"/>
  <c r="U2" i="23" s="1"/>
  <c r="V2" i="23" s="1"/>
  <c r="W2" i="23" s="1"/>
  <c r="X2" i="23" s="1"/>
  <c r="Y2" i="23" s="1"/>
  <c r="E2" i="23"/>
  <c r="F2" i="23" s="1"/>
  <c r="G2" i="23" s="1"/>
  <c r="H2" i="23" s="1"/>
  <c r="I2" i="23" s="1"/>
  <c r="J2" i="23" s="1"/>
  <c r="K2" i="23" s="1"/>
  <c r="L2" i="23" s="1"/>
  <c r="M2" i="23" s="1"/>
  <c r="N2" i="23" s="1"/>
  <c r="O2" i="23" s="1"/>
  <c r="A1" i="23"/>
  <c r="AF3" i="23" s="1"/>
  <c r="AF2" i="22"/>
  <c r="AG2" i="22" s="1"/>
  <c r="AH2" i="22" s="1"/>
  <c r="AI2" i="22" s="1"/>
  <c r="AJ2" i="22" s="1"/>
  <c r="AK2" i="22" s="1"/>
  <c r="AL2" i="22" s="1"/>
  <c r="AM2" i="22" s="1"/>
  <c r="Q2" i="22"/>
  <c r="R2" i="22" s="1"/>
  <c r="S2" i="22" s="1"/>
  <c r="T2" i="22" s="1"/>
  <c r="U2" i="22" s="1"/>
  <c r="V2" i="22" s="1"/>
  <c r="W2" i="22" s="1"/>
  <c r="X2" i="22" s="1"/>
  <c r="Y2" i="22" s="1"/>
  <c r="E2" i="22"/>
  <c r="F2" i="22" s="1"/>
  <c r="G2" i="22" s="1"/>
  <c r="H2" i="22" s="1"/>
  <c r="I2" i="22" s="1"/>
  <c r="J2" i="22" s="1"/>
  <c r="K2" i="22" s="1"/>
  <c r="L2" i="22" s="1"/>
  <c r="M2" i="22" s="1"/>
  <c r="N2" i="22" s="1"/>
  <c r="O2" i="22" s="1"/>
  <c r="A1" i="22"/>
  <c r="AF3" i="22" s="1"/>
  <c r="AA13" i="21"/>
  <c r="AF2" i="21"/>
  <c r="AG2" i="21" s="1"/>
  <c r="AH2" i="21" s="1"/>
  <c r="AI2" i="21" s="1"/>
  <c r="AJ2" i="21" s="1"/>
  <c r="AK2" i="21" s="1"/>
  <c r="AL2" i="21" s="1"/>
  <c r="AM2" i="21" s="1"/>
  <c r="Q2" i="21"/>
  <c r="R2" i="21" s="1"/>
  <c r="S2" i="21" s="1"/>
  <c r="T2" i="21" s="1"/>
  <c r="U2" i="21" s="1"/>
  <c r="V2" i="21" s="1"/>
  <c r="W2" i="21" s="1"/>
  <c r="X2" i="21" s="1"/>
  <c r="Y2" i="21" s="1"/>
  <c r="E2" i="21"/>
  <c r="F2" i="21" s="1"/>
  <c r="G2" i="21" s="1"/>
  <c r="H2" i="21" s="1"/>
  <c r="I2" i="21" s="1"/>
  <c r="J2" i="21" s="1"/>
  <c r="K2" i="21" s="1"/>
  <c r="L2" i="21" s="1"/>
  <c r="M2" i="21" s="1"/>
  <c r="N2" i="21" s="1"/>
  <c r="O2" i="21" s="1"/>
  <c r="A1" i="21"/>
  <c r="AF3" i="21" s="1"/>
  <c r="AA13" i="20" l="1"/>
  <c r="AF2" i="20"/>
  <c r="AG2" i="20" s="1"/>
  <c r="AH2" i="20" s="1"/>
  <c r="AI2" i="20" s="1"/>
  <c r="AJ2" i="20" s="1"/>
  <c r="AK2" i="20" s="1"/>
  <c r="AL2" i="20" s="1"/>
  <c r="AM2" i="20" s="1"/>
  <c r="Q2" i="20"/>
  <c r="R2" i="20" s="1"/>
  <c r="S2" i="20" s="1"/>
  <c r="T2" i="20" s="1"/>
  <c r="U2" i="20" s="1"/>
  <c r="V2" i="20" s="1"/>
  <c r="W2" i="20" s="1"/>
  <c r="X2" i="20" s="1"/>
  <c r="Y2" i="20" s="1"/>
  <c r="E2" i="20"/>
  <c r="F2" i="20" s="1"/>
  <c r="G2" i="20" s="1"/>
  <c r="H2" i="20" s="1"/>
  <c r="I2" i="20" s="1"/>
  <c r="J2" i="20" s="1"/>
  <c r="K2" i="20" s="1"/>
  <c r="L2" i="20" s="1"/>
  <c r="M2" i="20" s="1"/>
  <c r="N2" i="20" s="1"/>
  <c r="O2" i="20" s="1"/>
  <c r="A1" i="20"/>
  <c r="AF3" i="20" s="1"/>
  <c r="AF2" i="19"/>
  <c r="AG2" i="19" s="1"/>
  <c r="AH2" i="19" s="1"/>
  <c r="AI2" i="19" s="1"/>
  <c r="AJ2" i="19" s="1"/>
  <c r="AK2" i="19" s="1"/>
  <c r="AL2" i="19" s="1"/>
  <c r="AM2" i="19" s="1"/>
  <c r="Q2" i="19"/>
  <c r="R2" i="19" s="1"/>
  <c r="S2" i="19" s="1"/>
  <c r="T2" i="19" s="1"/>
  <c r="U2" i="19" s="1"/>
  <c r="V2" i="19" s="1"/>
  <c r="W2" i="19" s="1"/>
  <c r="X2" i="19" s="1"/>
  <c r="Y2" i="19" s="1"/>
  <c r="E2" i="19"/>
  <c r="F2" i="19" s="1"/>
  <c r="G2" i="19" s="1"/>
  <c r="H2" i="19" s="1"/>
  <c r="I2" i="19" s="1"/>
  <c r="J2" i="19" s="1"/>
  <c r="K2" i="19" s="1"/>
  <c r="L2" i="19" s="1"/>
  <c r="M2" i="19" s="1"/>
  <c r="N2" i="19" s="1"/>
  <c r="O2" i="19" s="1"/>
  <c r="A1" i="19"/>
  <c r="AF3" i="19" s="1"/>
  <c r="M7" i="1"/>
  <c r="AA14" i="18" l="1"/>
  <c r="AF2" i="18"/>
  <c r="AG2" i="18" s="1"/>
  <c r="AH2" i="18" s="1"/>
  <c r="AI2" i="18" s="1"/>
  <c r="AJ2" i="18" s="1"/>
  <c r="AK2" i="18" s="1"/>
  <c r="AL2" i="18" s="1"/>
  <c r="AM2" i="18" s="1"/>
  <c r="Q2" i="18"/>
  <c r="R2" i="18" s="1"/>
  <c r="S2" i="18" s="1"/>
  <c r="T2" i="18" s="1"/>
  <c r="U2" i="18" s="1"/>
  <c r="V2" i="18" s="1"/>
  <c r="W2" i="18" s="1"/>
  <c r="X2" i="18" s="1"/>
  <c r="Y2" i="18" s="1"/>
  <c r="E2" i="18"/>
  <c r="F2" i="18" s="1"/>
  <c r="G2" i="18" s="1"/>
  <c r="H2" i="18" s="1"/>
  <c r="I2" i="18" s="1"/>
  <c r="J2" i="18" s="1"/>
  <c r="K2" i="18" s="1"/>
  <c r="L2" i="18" s="1"/>
  <c r="M2" i="18" s="1"/>
  <c r="N2" i="18" s="1"/>
  <c r="O2" i="18" s="1"/>
  <c r="A1" i="18"/>
  <c r="AF3" i="18" s="1"/>
  <c r="AA13" i="15"/>
  <c r="AF2" i="15"/>
  <c r="AG2" i="15" s="1"/>
  <c r="AH2" i="15" s="1"/>
  <c r="AI2" i="15" s="1"/>
  <c r="AJ2" i="15" s="1"/>
  <c r="AK2" i="15" s="1"/>
  <c r="AL2" i="15" s="1"/>
  <c r="AM2" i="15" s="1"/>
  <c r="Q2" i="15"/>
  <c r="R2" i="15" s="1"/>
  <c r="S2" i="15" s="1"/>
  <c r="T2" i="15" s="1"/>
  <c r="U2" i="15" s="1"/>
  <c r="V2" i="15" s="1"/>
  <c r="W2" i="15" s="1"/>
  <c r="X2" i="15" s="1"/>
  <c r="Y2" i="15" s="1"/>
  <c r="E2" i="15"/>
  <c r="F2" i="15" s="1"/>
  <c r="G2" i="15" s="1"/>
  <c r="H2" i="15" s="1"/>
  <c r="I2" i="15" s="1"/>
  <c r="J2" i="15" s="1"/>
  <c r="K2" i="15" s="1"/>
  <c r="L2" i="15" s="1"/>
  <c r="M2" i="15" s="1"/>
  <c r="N2" i="15" s="1"/>
  <c r="O2" i="15" s="1"/>
  <c r="A1" i="15"/>
  <c r="AF3" i="15" s="1"/>
  <c r="AA14" i="14"/>
  <c r="AF2" i="14"/>
  <c r="AG2" i="14" s="1"/>
  <c r="AH2" i="14" s="1"/>
  <c r="AI2" i="14" s="1"/>
  <c r="AJ2" i="14" s="1"/>
  <c r="AK2" i="14" s="1"/>
  <c r="AL2" i="14" s="1"/>
  <c r="AM2" i="14" s="1"/>
  <c r="Q2" i="14"/>
  <c r="R2" i="14" s="1"/>
  <c r="S2" i="14" s="1"/>
  <c r="T2" i="14" s="1"/>
  <c r="U2" i="14" s="1"/>
  <c r="V2" i="14" s="1"/>
  <c r="W2" i="14" s="1"/>
  <c r="X2" i="14" s="1"/>
  <c r="Y2" i="14" s="1"/>
  <c r="E2" i="14"/>
  <c r="F2" i="14" s="1"/>
  <c r="G2" i="14" s="1"/>
  <c r="H2" i="14" s="1"/>
  <c r="I2" i="14" s="1"/>
  <c r="J2" i="14" s="1"/>
  <c r="K2" i="14" s="1"/>
  <c r="L2" i="14" s="1"/>
  <c r="M2" i="14" s="1"/>
  <c r="N2" i="14" s="1"/>
  <c r="O2" i="14" s="1"/>
  <c r="A1" i="14"/>
  <c r="AF3" i="14" s="1"/>
  <c r="Z18" i="13"/>
  <c r="AA17" i="13"/>
  <c r="AA13" i="13" l="1"/>
  <c r="AF2" i="13"/>
  <c r="AG2" i="13" s="1"/>
  <c r="AH2" i="13" s="1"/>
  <c r="AI2" i="13" s="1"/>
  <c r="AJ2" i="13" s="1"/>
  <c r="AK2" i="13" s="1"/>
  <c r="AL2" i="13" s="1"/>
  <c r="AM2" i="13" s="1"/>
  <c r="Q2" i="13"/>
  <c r="R2" i="13" s="1"/>
  <c r="S2" i="13" s="1"/>
  <c r="T2" i="13" s="1"/>
  <c r="U2" i="13" s="1"/>
  <c r="V2" i="13" s="1"/>
  <c r="W2" i="13" s="1"/>
  <c r="X2" i="13" s="1"/>
  <c r="Y2" i="13" s="1"/>
  <c r="E2" i="13"/>
  <c r="F2" i="13" s="1"/>
  <c r="G2" i="13" s="1"/>
  <c r="H2" i="13" s="1"/>
  <c r="I2" i="13" s="1"/>
  <c r="J2" i="13" s="1"/>
  <c r="K2" i="13" s="1"/>
  <c r="L2" i="13" s="1"/>
  <c r="M2" i="13" s="1"/>
  <c r="N2" i="13" s="1"/>
  <c r="O2" i="13" s="1"/>
  <c r="A1" i="13"/>
  <c r="AF3" i="13" s="1"/>
  <c r="AA16" i="12"/>
  <c r="AA13" i="12"/>
  <c r="AF2" i="12"/>
  <c r="AG2" i="12" s="1"/>
  <c r="AH2" i="12" s="1"/>
  <c r="AI2" i="12" s="1"/>
  <c r="AJ2" i="12" s="1"/>
  <c r="AK2" i="12" s="1"/>
  <c r="AL2" i="12" s="1"/>
  <c r="AM2" i="12" s="1"/>
  <c r="Q2" i="12"/>
  <c r="R2" i="12" s="1"/>
  <c r="S2" i="12" s="1"/>
  <c r="T2" i="12" s="1"/>
  <c r="U2" i="12" s="1"/>
  <c r="V2" i="12" s="1"/>
  <c r="W2" i="12" s="1"/>
  <c r="X2" i="12" s="1"/>
  <c r="Y2" i="12" s="1"/>
  <c r="E2" i="12"/>
  <c r="F2" i="12" s="1"/>
  <c r="G2" i="12" s="1"/>
  <c r="H2" i="12" s="1"/>
  <c r="I2" i="12" s="1"/>
  <c r="J2" i="12" s="1"/>
  <c r="K2" i="12" s="1"/>
  <c r="L2" i="12" s="1"/>
  <c r="M2" i="12" s="1"/>
  <c r="N2" i="12" s="1"/>
  <c r="O2" i="12" s="1"/>
  <c r="A1" i="12"/>
  <c r="AF3" i="12" s="1"/>
  <c r="AA74" i="11" l="1"/>
  <c r="AA73" i="11"/>
  <c r="AA83" i="10"/>
  <c r="AA82" i="10"/>
  <c r="AA81" i="10"/>
  <c r="AA80" i="10"/>
  <c r="AE62" i="11" l="1"/>
  <c r="AE60" i="11"/>
  <c r="Z38" i="11"/>
  <c r="AE37" i="11"/>
  <c r="AE34" i="11"/>
  <c r="AE35" i="11" s="1"/>
  <c r="S32" i="11"/>
  <c r="S31" i="11"/>
  <c r="S29" i="11"/>
  <c r="AE25" i="11"/>
  <c r="AA13" i="11"/>
  <c r="AF2" i="11"/>
  <c r="AG2" i="11" s="1"/>
  <c r="AH2" i="11" s="1"/>
  <c r="AI2" i="11" s="1"/>
  <c r="AJ2" i="11" s="1"/>
  <c r="AK2" i="11" s="1"/>
  <c r="AL2" i="11" s="1"/>
  <c r="AM2" i="11" s="1"/>
  <c r="Q2" i="11"/>
  <c r="R2" i="11" s="1"/>
  <c r="S2" i="11" s="1"/>
  <c r="T2" i="11" s="1"/>
  <c r="U2" i="11" s="1"/>
  <c r="V2" i="11" s="1"/>
  <c r="W2" i="11" s="1"/>
  <c r="X2" i="11" s="1"/>
  <c r="Y2" i="11" s="1"/>
  <c r="E2" i="11"/>
  <c r="F2" i="11" s="1"/>
  <c r="G2" i="11" s="1"/>
  <c r="H2" i="11" s="1"/>
  <c r="I2" i="11" s="1"/>
  <c r="J2" i="11" s="1"/>
  <c r="K2" i="11" s="1"/>
  <c r="L2" i="11" s="1"/>
  <c r="M2" i="11" s="1"/>
  <c r="N2" i="11" s="1"/>
  <c r="O2" i="11" s="1"/>
  <c r="A1" i="11"/>
  <c r="AF3" i="11" s="1"/>
  <c r="Z6" i="2"/>
  <c r="Z7" i="2" s="1"/>
  <c r="Z8" i="2" s="1"/>
  <c r="Z9" i="2" s="1"/>
  <c r="Z10" i="2" s="1"/>
  <c r="Z11" i="2" s="1"/>
  <c r="Z12" i="2" s="1"/>
  <c r="Z13" i="2" s="1"/>
  <c r="Z14" i="2" s="1"/>
  <c r="Z15" i="2" s="1"/>
  <c r="Z16" i="2" s="1"/>
  <c r="Z17" i="2" s="1"/>
  <c r="Z18" i="2" s="1"/>
  <c r="Z19" i="2" s="1"/>
  <c r="Z20" i="2" s="1"/>
  <c r="Z21" i="2" s="1"/>
  <c r="Z22" i="2" s="1"/>
  <c r="Z23" i="2" s="1"/>
  <c r="Z24" i="2" s="1"/>
  <c r="Z25" i="2" s="1"/>
  <c r="Z26" i="2" s="1"/>
  <c r="Z27" i="2" s="1"/>
  <c r="Z28" i="2" s="1"/>
  <c r="Z29" i="2" s="1"/>
  <c r="Z30" i="2" s="1"/>
  <c r="Z31" i="2" s="1"/>
  <c r="Z32" i="2" s="1"/>
  <c r="AE27" i="11" l="1"/>
  <c r="AE28" i="11" s="1"/>
  <c r="AE26" i="11"/>
  <c r="AE69" i="10"/>
  <c r="AE67" i="10"/>
  <c r="AA58" i="10"/>
  <c r="Z45" i="10"/>
  <c r="AE44" i="10"/>
  <c r="AE41" i="10"/>
  <c r="AE42" i="10" s="1"/>
  <c r="S39" i="10"/>
  <c r="S38" i="10"/>
  <c r="S36" i="10"/>
  <c r="AE32" i="10"/>
  <c r="AA18" i="10"/>
  <c r="AA13" i="10"/>
  <c r="AF2" i="10"/>
  <c r="AG2" i="10" s="1"/>
  <c r="AH2" i="10" s="1"/>
  <c r="AI2" i="10" s="1"/>
  <c r="AJ2" i="10" s="1"/>
  <c r="AK2" i="10" s="1"/>
  <c r="AL2" i="10" s="1"/>
  <c r="AM2" i="10" s="1"/>
  <c r="Q2" i="10"/>
  <c r="R2" i="10" s="1"/>
  <c r="S2" i="10" s="1"/>
  <c r="T2" i="10" s="1"/>
  <c r="U2" i="10" s="1"/>
  <c r="V2" i="10" s="1"/>
  <c r="W2" i="10" s="1"/>
  <c r="X2" i="10" s="1"/>
  <c r="Y2" i="10" s="1"/>
  <c r="E2" i="10"/>
  <c r="F2" i="10" s="1"/>
  <c r="G2" i="10" s="1"/>
  <c r="H2" i="10" s="1"/>
  <c r="I2" i="10" s="1"/>
  <c r="J2" i="10" s="1"/>
  <c r="K2" i="10" s="1"/>
  <c r="L2" i="10" s="1"/>
  <c r="M2" i="10" s="1"/>
  <c r="N2" i="10" s="1"/>
  <c r="O2" i="10" s="1"/>
  <c r="A1" i="10"/>
  <c r="AF3" i="10" s="1"/>
  <c r="AE29" i="11" l="1"/>
  <c r="AE30" i="11" s="1"/>
  <c r="AE31" i="11" s="1"/>
  <c r="AE32" i="11" s="1"/>
  <c r="AE34" i="10"/>
  <c r="AE35" i="10" s="1"/>
  <c r="AE36" i="10" s="1"/>
  <c r="AE37" i="10" s="1"/>
  <c r="AE38" i="10" s="1"/>
  <c r="AE39" i="10" s="1"/>
  <c r="AE33" i="10"/>
  <c r="F5" i="2"/>
  <c r="AH53" i="11" s="1"/>
  <c r="AH52" i="11" l="1"/>
  <c r="E53" i="11"/>
  <c r="E55" i="11"/>
  <c r="E52" i="11"/>
  <c r="E51" i="11"/>
  <c r="E67" i="8"/>
  <c r="E65" i="8"/>
  <c r="E66" i="8"/>
  <c r="E54" i="11"/>
  <c r="E50" i="11"/>
  <c r="E24" i="11"/>
  <c r="E90" i="8"/>
  <c r="E80" i="11"/>
  <c r="E41" i="8"/>
  <c r="E87" i="8"/>
  <c r="E54" i="8"/>
  <c r="AB6" i="2"/>
  <c r="E24" i="22"/>
  <c r="E40" i="8"/>
  <c r="E28" i="11"/>
  <c r="E19" i="22"/>
  <c r="E26" i="11"/>
  <c r="E84" i="8"/>
  <c r="E84" i="10"/>
  <c r="E62" i="10"/>
  <c r="E61" i="10"/>
  <c r="E63" i="10"/>
  <c r="E33" i="10"/>
  <c r="E35" i="8"/>
  <c r="E50" i="8"/>
  <c r="E12" i="23"/>
  <c r="E4" i="23"/>
  <c r="E19" i="21"/>
  <c r="E9" i="22"/>
  <c r="E4" i="22"/>
  <c r="E14" i="22"/>
  <c r="E8" i="22"/>
  <c r="E31" i="20"/>
  <c r="E4" i="21"/>
  <c r="E24" i="21"/>
  <c r="E13" i="21"/>
  <c r="E16" i="21"/>
  <c r="E8" i="21"/>
  <c r="E17" i="21"/>
  <c r="E9" i="21"/>
  <c r="E10" i="21"/>
  <c r="E29" i="21"/>
  <c r="E18" i="21"/>
  <c r="E16" i="20"/>
  <c r="E26" i="20"/>
  <c r="E21" i="20"/>
  <c r="E20" i="20"/>
  <c r="E19" i="20"/>
  <c r="E18" i="20"/>
  <c r="E8" i="20"/>
  <c r="E9" i="20"/>
  <c r="E10" i="20"/>
  <c r="E4" i="20"/>
  <c r="E17" i="20"/>
  <c r="E13" i="20"/>
  <c r="E17" i="18"/>
  <c r="E14" i="19"/>
  <c r="E15" i="19"/>
  <c r="E9" i="19"/>
  <c r="E8" i="19"/>
  <c r="E4" i="19"/>
  <c r="E11" i="18"/>
  <c r="E10" i="18"/>
  <c r="E14" i="18"/>
  <c r="E8" i="18"/>
  <c r="E9" i="18"/>
  <c r="E4" i="18"/>
  <c r="E10" i="14"/>
  <c r="E9" i="15"/>
  <c r="E10" i="15"/>
  <c r="E13" i="15"/>
  <c r="E8" i="15"/>
  <c r="E4" i="15"/>
  <c r="E18" i="13"/>
  <c r="E9" i="14"/>
  <c r="E4" i="14"/>
  <c r="E11" i="14"/>
  <c r="E8" i="14"/>
  <c r="E14" i="14"/>
  <c r="E8" i="13"/>
  <c r="E9" i="13"/>
  <c r="E4" i="13"/>
  <c r="E17" i="13"/>
  <c r="E10" i="13"/>
  <c r="E16" i="13"/>
  <c r="E13" i="13"/>
  <c r="E17" i="12"/>
  <c r="E8" i="12"/>
  <c r="E22" i="12"/>
  <c r="E10" i="12"/>
  <c r="E16" i="12"/>
  <c r="E13" i="12"/>
  <c r="E4" i="12"/>
  <c r="E9" i="12"/>
  <c r="E73" i="11"/>
  <c r="E74" i="11"/>
  <c r="E82" i="10"/>
  <c r="E83" i="10"/>
  <c r="E80" i="10"/>
  <c r="E81" i="10"/>
  <c r="E65" i="11"/>
  <c r="E60" i="11"/>
  <c r="E43" i="11"/>
  <c r="E38" i="11"/>
  <c r="E23" i="11"/>
  <c r="E77" i="11"/>
  <c r="E66" i="11"/>
  <c r="E61" i="11"/>
  <c r="E44" i="11"/>
  <c r="E39" i="11"/>
  <c r="E8" i="11"/>
  <c r="E67" i="11"/>
  <c r="E45" i="11"/>
  <c r="E33" i="11"/>
  <c r="E68" i="11"/>
  <c r="E62" i="11"/>
  <c r="E46" i="11"/>
  <c r="E40" i="11"/>
  <c r="E32" i="11"/>
  <c r="E30" i="11"/>
  <c r="E70" i="11"/>
  <c r="E35" i="11"/>
  <c r="E31" i="11"/>
  <c r="E25" i="11"/>
  <c r="E13" i="11"/>
  <c r="E69" i="11"/>
  <c r="E59" i="11"/>
  <c r="E22" i="11"/>
  <c r="E16" i="11"/>
  <c r="E41" i="11"/>
  <c r="E34" i="11"/>
  <c r="E42" i="11"/>
  <c r="E37" i="11"/>
  <c r="E36" i="11"/>
  <c r="E27" i="11"/>
  <c r="E4" i="11"/>
  <c r="E64" i="11"/>
  <c r="E9" i="11"/>
  <c r="E63" i="11"/>
  <c r="E47" i="11"/>
  <c r="E17" i="11"/>
  <c r="E29" i="11"/>
  <c r="E10" i="11"/>
  <c r="E57" i="10"/>
  <c r="E58" i="10"/>
  <c r="E49" i="10"/>
  <c r="E44" i="10"/>
  <c r="E20" i="10"/>
  <c r="E72" i="10"/>
  <c r="E67" i="10"/>
  <c r="E50" i="10"/>
  <c r="E45" i="10"/>
  <c r="E31" i="10"/>
  <c r="E73" i="10"/>
  <c r="E68" i="10"/>
  <c r="E51" i="10"/>
  <c r="E46" i="10"/>
  <c r="E23" i="10"/>
  <c r="E22" i="10"/>
  <c r="E75" i="10"/>
  <c r="E69" i="10"/>
  <c r="E53" i="10"/>
  <c r="E47" i="10"/>
  <c r="E39" i="10"/>
  <c r="E37" i="10"/>
  <c r="E35" i="10"/>
  <c r="E25" i="10"/>
  <c r="E16" i="10"/>
  <c r="E10" i="10"/>
  <c r="E76" i="10"/>
  <c r="E70" i="10"/>
  <c r="E54" i="10"/>
  <c r="E41" i="10"/>
  <c r="E38" i="10"/>
  <c r="E36" i="10"/>
  <c r="E30" i="10"/>
  <c r="E13" i="10"/>
  <c r="E40" i="10"/>
  <c r="E71" i="10"/>
  <c r="E42" i="10"/>
  <c r="E19" i="10"/>
  <c r="E43" i="10"/>
  <c r="E24" i="10"/>
  <c r="E8" i="10"/>
  <c r="E48" i="10"/>
  <c r="E32" i="10"/>
  <c r="E87" i="10"/>
  <c r="E77" i="10"/>
  <c r="E74" i="10"/>
  <c r="E34" i="10"/>
  <c r="E18" i="10"/>
  <c r="E21" i="10"/>
  <c r="E52" i="10"/>
  <c r="E9" i="10"/>
  <c r="E4" i="10"/>
  <c r="E66" i="10"/>
  <c r="E17" i="10"/>
  <c r="P32" i="2"/>
  <c r="S4" i="2"/>
  <c r="W29" i="2"/>
  <c r="W28" i="2"/>
  <c r="W27" i="2"/>
  <c r="W26" i="2"/>
  <c r="W25" i="2"/>
  <c r="W24" i="2"/>
  <c r="W23" i="2"/>
  <c r="W22" i="2"/>
  <c r="W21" i="2"/>
  <c r="W20" i="2"/>
  <c r="W19" i="2"/>
  <c r="W18" i="2"/>
  <c r="W17" i="2"/>
  <c r="W16" i="2"/>
  <c r="W15" i="2"/>
  <c r="P9" i="2" l="1"/>
  <c r="AE38" i="3" l="1"/>
  <c r="AE37" i="3"/>
  <c r="AE36" i="3"/>
  <c r="AE33" i="3"/>
  <c r="AE26" i="3"/>
  <c r="AE22" i="3"/>
  <c r="AE18" i="3"/>
  <c r="C4" i="2"/>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T7" i="2" l="1"/>
  <c r="T8" i="2" s="1"/>
  <c r="T9" i="2" s="1"/>
  <c r="T10" i="2" s="1"/>
  <c r="T11" i="2" s="1"/>
  <c r="T12" i="2" s="1"/>
  <c r="T13" i="2" s="1"/>
  <c r="T14" i="2" s="1"/>
  <c r="T15" i="2" s="1"/>
  <c r="T16" i="2" s="1"/>
  <c r="T17" i="2" s="1"/>
  <c r="T18" i="2" s="1"/>
  <c r="T19" i="2" s="1"/>
  <c r="T20" i="2" s="1"/>
  <c r="T21" i="2" s="1"/>
  <c r="T22" i="2" s="1"/>
  <c r="T23" i="2" s="1"/>
  <c r="T24" i="2" s="1"/>
  <c r="T25" i="2" s="1"/>
  <c r="T26" i="2" s="1"/>
  <c r="T27" i="2" s="1"/>
  <c r="T28" i="2" s="1"/>
  <c r="T29" i="2" s="1"/>
  <c r="AE73" i="8" l="1"/>
  <c r="AE71" i="8"/>
  <c r="AA64" i="8"/>
  <c r="AA13" i="8"/>
  <c r="F10" i="2" l="1"/>
  <c r="AA63" i="8" l="1"/>
  <c r="AE34" i="8"/>
  <c r="S38" i="8"/>
  <c r="S42" i="8"/>
  <c r="S43" i="8"/>
  <c r="AE45" i="8"/>
  <c r="AE46" i="8" s="1"/>
  <c r="AE48" i="8"/>
  <c r="AE36" i="8" l="1"/>
  <c r="AE37" i="8" s="1"/>
  <c r="AE38" i="8" s="1"/>
  <c r="AF2" i="8"/>
  <c r="AG2" i="8" s="1"/>
  <c r="AH2" i="8" s="1"/>
  <c r="AI2" i="8" s="1"/>
  <c r="AJ2" i="8" s="1"/>
  <c r="AK2" i="8" s="1"/>
  <c r="AL2" i="8" s="1"/>
  <c r="AM2" i="8" s="1"/>
  <c r="AE39" i="8" l="1"/>
  <c r="AE40" i="8"/>
  <c r="AA22" i="8"/>
  <c r="AA18" i="8"/>
  <c r="AE42" i="8" l="1"/>
  <c r="AE43" i="8" s="1"/>
  <c r="AE41" i="8"/>
  <c r="AT20" i="3"/>
  <c r="E78" i="8" l="1"/>
  <c r="E81" i="8"/>
  <c r="E71" i="8"/>
  <c r="E76" i="8"/>
  <c r="E74" i="8"/>
  <c r="E79" i="8"/>
  <c r="E72" i="8"/>
  <c r="E70" i="8"/>
  <c r="E77" i="8"/>
  <c r="E80" i="8"/>
  <c r="E75" i="8"/>
  <c r="E73" i="8"/>
  <c r="E63" i="8"/>
  <c r="E57" i="8"/>
  <c r="E60" i="8"/>
  <c r="E58" i="8"/>
  <c r="E56" i="8"/>
  <c r="E59" i="8"/>
  <c r="E55" i="8"/>
  <c r="E43" i="8"/>
  <c r="E38" i="8"/>
  <c r="E33" i="8"/>
  <c r="E34" i="8"/>
  <c r="E48" i="8"/>
  <c r="E36" i="8"/>
  <c r="E46" i="8"/>
  <c r="E47" i="8"/>
  <c r="E37" i="8"/>
  <c r="E44" i="8"/>
  <c r="E45" i="8"/>
  <c r="E39" i="8"/>
  <c r="E49" i="8"/>
  <c r="E51" i="8"/>
  <c r="E52" i="8"/>
  <c r="E53" i="8"/>
  <c r="E42" i="8"/>
  <c r="E32" i="8"/>
  <c r="E20" i="8"/>
  <c r="E23" i="8"/>
  <c r="E16" i="8"/>
  <c r="E21" i="8"/>
  <c r="E22" i="8"/>
  <c r="E13" i="8"/>
  <c r="E27" i="8"/>
  <c r="E26" i="8"/>
  <c r="E25" i="8"/>
  <c r="E18" i="8"/>
  <c r="E24" i="8"/>
  <c r="E17" i="8"/>
  <c r="E19" i="8"/>
  <c r="E4" i="8"/>
  <c r="E10" i="8" l="1"/>
  <c r="E9" i="8"/>
  <c r="A1" i="8"/>
  <c r="AF3" i="8" s="1"/>
  <c r="Q2" i="8"/>
  <c r="R2" i="8" s="1"/>
  <c r="S2" i="8" s="1"/>
  <c r="T2" i="8" s="1"/>
  <c r="U2" i="8" s="1"/>
  <c r="V2" i="8" s="1"/>
  <c r="W2" i="8" s="1"/>
  <c r="X2" i="8" s="1"/>
  <c r="Y2" i="8" s="1"/>
  <c r="E2" i="8"/>
  <c r="F2" i="8" s="1"/>
  <c r="G2" i="8" s="1"/>
  <c r="H2" i="8" s="1"/>
  <c r="I2" i="8" s="1"/>
  <c r="J2" i="8" s="1"/>
  <c r="K2" i="8" s="1"/>
  <c r="L2" i="8" s="1"/>
  <c r="M2" i="8" s="1"/>
  <c r="N2" i="8" s="1"/>
  <c r="O2" i="8" s="1"/>
  <c r="Q2" i="3"/>
  <c r="R2" i="3" s="1"/>
  <c r="S2" i="3" s="1"/>
  <c r="T2" i="3" s="1"/>
  <c r="U2" i="3" s="1"/>
  <c r="V2" i="3" s="1"/>
  <c r="W2" i="3" s="1"/>
  <c r="X2" i="3" s="1"/>
  <c r="Y2" i="3" s="1"/>
  <c r="AL21" i="3" l="1"/>
  <c r="AQ8" i="3"/>
  <c r="AQ9" i="3" s="1"/>
  <c r="AQ10" i="3" s="1"/>
  <c r="AQ11" i="3" s="1"/>
  <c r="P10" i="3"/>
  <c r="AR21" i="3" l="1"/>
  <c r="AR20" i="3"/>
  <c r="AR16" i="3"/>
  <c r="AR35" i="3"/>
  <c r="AO35" i="3"/>
  <c r="AK35" i="3"/>
  <c r="E2" i="3"/>
  <c r="F2" i="3" s="1"/>
  <c r="G2" i="3" s="1"/>
  <c r="H2" i="3" s="1"/>
  <c r="I2" i="3" s="1"/>
  <c r="J2" i="3" s="1"/>
  <c r="K2" i="3" s="1"/>
  <c r="L2" i="3" s="1"/>
  <c r="M2" i="3" s="1"/>
  <c r="N2" i="3" s="1"/>
  <c r="O2" i="3" s="1"/>
  <c r="AP2" i="3"/>
  <c r="AQ2" i="3" s="1"/>
  <c r="AR2" i="3" s="1"/>
  <c r="AS2" i="3" s="1"/>
  <c r="AT2" i="3" s="1"/>
  <c r="AU2" i="3" s="1"/>
  <c r="AV2" i="3" s="1"/>
  <c r="AF25" i="3"/>
  <c r="AF24" i="3"/>
  <c r="AF32" i="3"/>
  <c r="AF31" i="3"/>
  <c r="AF30" i="3"/>
  <c r="AF29" i="3"/>
  <c r="AF28" i="3"/>
  <c r="AF27" i="3"/>
  <c r="AF15" i="3"/>
  <c r="F12" i="2" l="1"/>
  <c r="AQ23" i="3" s="1"/>
  <c r="AQ35" i="3" l="1"/>
  <c r="P11" i="2"/>
  <c r="B3" i="1" s="1"/>
  <c r="AA6" i="2" l="1"/>
  <c r="AA5" i="2"/>
  <c r="P4" i="2"/>
  <c r="P16" i="2"/>
  <c r="P6" i="2"/>
  <c r="P23" i="2"/>
  <c r="P30" i="2"/>
  <c r="R20" i="2"/>
  <c r="R9" i="2"/>
  <c r="R8" i="2"/>
  <c r="AA12" i="2"/>
  <c r="AA13" i="2"/>
  <c r="AA14" i="2"/>
  <c r="AA23" i="2"/>
  <c r="AQ24" i="3"/>
  <c r="AQ25" i="3" s="1"/>
  <c r="AQ21" i="3"/>
  <c r="AQ20" i="3"/>
  <c r="AQ15" i="3"/>
  <c r="AQ16" i="3"/>
  <c r="F37" i="11" l="1"/>
  <c r="F36" i="11"/>
  <c r="G19" i="22"/>
  <c r="G24" i="22"/>
  <c r="F55" i="11"/>
  <c r="L53" i="11"/>
  <c r="L55" i="11"/>
  <c r="G53" i="11"/>
  <c r="G55" i="11"/>
  <c r="F53" i="11"/>
  <c r="G52" i="11"/>
  <c r="G51" i="11"/>
  <c r="L52" i="11"/>
  <c r="L51" i="11"/>
  <c r="F52" i="11"/>
  <c r="F51" i="11"/>
  <c r="F65" i="8"/>
  <c r="F67" i="8"/>
  <c r="F66" i="8"/>
  <c r="G67" i="8"/>
  <c r="G66" i="8"/>
  <c r="G65" i="8"/>
  <c r="L67" i="8"/>
  <c r="L66" i="8"/>
  <c r="L65" i="8"/>
  <c r="L54" i="11"/>
  <c r="L50" i="11"/>
  <c r="G54" i="11"/>
  <c r="G50" i="11"/>
  <c r="F54" i="11"/>
  <c r="F50" i="11"/>
  <c r="L24" i="11"/>
  <c r="G24" i="11"/>
  <c r="G80" i="11"/>
  <c r="F24" i="11"/>
  <c r="AQ21" i="11"/>
  <c r="AQ49" i="11"/>
  <c r="AP49" i="11"/>
  <c r="AS19" i="11"/>
  <c r="AP21" i="11"/>
  <c r="AS27" i="10"/>
  <c r="AS11" i="19"/>
  <c r="AS13" i="19"/>
  <c r="F80" i="11"/>
  <c r="AS83" i="8"/>
  <c r="AS29" i="8"/>
  <c r="AS15" i="8"/>
  <c r="AS12" i="8"/>
  <c r="AS7" i="8"/>
  <c r="AS8" i="8" s="1"/>
  <c r="F87" i="8"/>
  <c r="F90" i="8"/>
  <c r="G87" i="8"/>
  <c r="G90" i="8"/>
  <c r="G87" i="10"/>
  <c r="L41" i="8"/>
  <c r="L42" i="8"/>
  <c r="G54" i="8"/>
  <c r="G41" i="8"/>
  <c r="F54" i="8"/>
  <c r="F41" i="8"/>
  <c r="L50" i="8"/>
  <c r="L54" i="8"/>
  <c r="L49" i="8"/>
  <c r="L40" i="8"/>
  <c r="G28" i="11"/>
  <c r="G40" i="8"/>
  <c r="F40" i="8"/>
  <c r="L17" i="12"/>
  <c r="L12" i="23"/>
  <c r="L51" i="8"/>
  <c r="L45" i="8"/>
  <c r="L46" i="8"/>
  <c r="L60" i="8"/>
  <c r="L59" i="8"/>
  <c r="L24" i="8"/>
  <c r="L25" i="8"/>
  <c r="F24" i="22"/>
  <c r="L19" i="22"/>
  <c r="L24" i="22"/>
  <c r="L28" i="11"/>
  <c r="F28" i="11"/>
  <c r="F19" i="22"/>
  <c r="G26" i="11"/>
  <c r="L26" i="11"/>
  <c r="F26" i="11"/>
  <c r="G84" i="8"/>
  <c r="G84" i="10"/>
  <c r="F84" i="8"/>
  <c r="F84" i="10"/>
  <c r="L84" i="8"/>
  <c r="L84" i="10"/>
  <c r="L63" i="10"/>
  <c r="L62" i="10"/>
  <c r="L61" i="10"/>
  <c r="G62" i="10"/>
  <c r="G61" i="10"/>
  <c r="G63" i="10"/>
  <c r="F62" i="10"/>
  <c r="F61" i="10"/>
  <c r="F63" i="10"/>
  <c r="L33" i="10"/>
  <c r="G33" i="10"/>
  <c r="F33" i="10"/>
  <c r="L35" i="8"/>
  <c r="F35" i="8"/>
  <c r="G35" i="8"/>
  <c r="AC59" i="10"/>
  <c r="E59" i="10" s="1"/>
  <c r="AB60" i="10"/>
  <c r="E60" i="10" s="1"/>
  <c r="AC56" i="11"/>
  <c r="E56" i="11" s="1"/>
  <c r="G56" i="11"/>
  <c r="F56" i="11"/>
  <c r="G16" i="10"/>
  <c r="G59" i="10"/>
  <c r="G60" i="10"/>
  <c r="L60" i="10"/>
  <c r="F59" i="10"/>
  <c r="F60" i="10"/>
  <c r="L16" i="10"/>
  <c r="L59" i="10"/>
  <c r="F7" i="2"/>
  <c r="AC64" i="8" s="1"/>
  <c r="E64" i="8" s="1"/>
  <c r="G11" i="3"/>
  <c r="G50" i="8"/>
  <c r="F50" i="8"/>
  <c r="F11" i="3"/>
  <c r="G12" i="23"/>
  <c r="F4" i="23"/>
  <c r="F12" i="23"/>
  <c r="L14" i="22"/>
  <c r="F19" i="21"/>
  <c r="F4" i="22"/>
  <c r="F14" i="22"/>
  <c r="F8" i="22"/>
  <c r="F9" i="22"/>
  <c r="L17" i="21"/>
  <c r="L16" i="21"/>
  <c r="F17" i="21"/>
  <c r="F13" i="21"/>
  <c r="F16" i="21"/>
  <c r="F24" i="21"/>
  <c r="F10" i="21"/>
  <c r="F29" i="21"/>
  <c r="F4" i="21"/>
  <c r="F8" i="21"/>
  <c r="F18" i="21"/>
  <c r="F9" i="21"/>
  <c r="G10" i="21"/>
  <c r="F31" i="20"/>
  <c r="L16" i="20"/>
  <c r="F16" i="20"/>
  <c r="F26" i="20"/>
  <c r="L20" i="20"/>
  <c r="L19" i="20"/>
  <c r="F21" i="20"/>
  <c r="L18" i="20"/>
  <c r="F19" i="20"/>
  <c r="F20" i="20"/>
  <c r="G10" i="20"/>
  <c r="L17" i="20"/>
  <c r="F8" i="20"/>
  <c r="F9" i="20"/>
  <c r="F17" i="20"/>
  <c r="F13" i="20"/>
  <c r="F18" i="20"/>
  <c r="F4" i="20"/>
  <c r="F10" i="20"/>
  <c r="L17" i="18"/>
  <c r="G15" i="19"/>
  <c r="F17" i="18"/>
  <c r="F15" i="19"/>
  <c r="F14" i="19"/>
  <c r="F9" i="19"/>
  <c r="F8" i="19"/>
  <c r="F4" i="19"/>
  <c r="G14" i="19"/>
  <c r="G11" i="18"/>
  <c r="F11" i="18"/>
  <c r="F9" i="18"/>
  <c r="F14" i="18"/>
  <c r="F8" i="18"/>
  <c r="F4" i="18"/>
  <c r="F10" i="18"/>
  <c r="G10" i="15"/>
  <c r="F10" i="14"/>
  <c r="F10" i="15"/>
  <c r="F4" i="15"/>
  <c r="F8" i="15"/>
  <c r="F13" i="15"/>
  <c r="F9" i="15"/>
  <c r="F18" i="13"/>
  <c r="F4" i="14"/>
  <c r="F11" i="14"/>
  <c r="F14" i="14"/>
  <c r="F8" i="14"/>
  <c r="F9" i="14"/>
  <c r="G11" i="14"/>
  <c r="L16" i="13"/>
  <c r="F8" i="13"/>
  <c r="F13" i="13"/>
  <c r="F9" i="13"/>
  <c r="F4" i="13"/>
  <c r="F10" i="13"/>
  <c r="F16" i="13"/>
  <c r="F17" i="13"/>
  <c r="G16" i="12"/>
  <c r="G10" i="13"/>
  <c r="F13" i="12"/>
  <c r="F16" i="12"/>
  <c r="F17" i="12"/>
  <c r="F22" i="12"/>
  <c r="F9" i="12"/>
  <c r="F8" i="12"/>
  <c r="F10" i="12"/>
  <c r="F4" i="12"/>
  <c r="L16" i="12"/>
  <c r="G17" i="12"/>
  <c r="G22" i="12"/>
  <c r="G10" i="12"/>
  <c r="G73" i="11"/>
  <c r="G74" i="11"/>
  <c r="F73" i="11"/>
  <c r="F74" i="11"/>
  <c r="G82" i="10"/>
  <c r="G83" i="10"/>
  <c r="L83" i="10"/>
  <c r="L82" i="10"/>
  <c r="F83" i="10"/>
  <c r="F82" i="10"/>
  <c r="G80" i="10"/>
  <c r="G81" i="10"/>
  <c r="L80" i="10"/>
  <c r="L81" i="10"/>
  <c r="G17" i="11"/>
  <c r="F81" i="10"/>
  <c r="F80" i="10"/>
  <c r="L16" i="11"/>
  <c r="G25" i="10"/>
  <c r="G67" i="11"/>
  <c r="G68" i="11"/>
  <c r="G69" i="11"/>
  <c r="G70" i="11"/>
  <c r="G16" i="11"/>
  <c r="G66" i="11"/>
  <c r="G65" i="11"/>
  <c r="L46" i="11"/>
  <c r="L32" i="11"/>
  <c r="L30" i="11"/>
  <c r="L69" i="11"/>
  <c r="L47" i="11"/>
  <c r="L34" i="11"/>
  <c r="L31" i="11"/>
  <c r="L29" i="11"/>
  <c r="L70" i="11"/>
  <c r="L41" i="11"/>
  <c r="L35" i="11"/>
  <c r="L42" i="11"/>
  <c r="L23" i="11"/>
  <c r="L45" i="11"/>
  <c r="L44" i="11"/>
  <c r="L43" i="11"/>
  <c r="L27" i="11"/>
  <c r="L25" i="11"/>
  <c r="L38" i="11"/>
  <c r="L39" i="11"/>
  <c r="L67" i="11"/>
  <c r="G45" i="11"/>
  <c r="G33" i="11"/>
  <c r="G27" i="11"/>
  <c r="G25" i="11"/>
  <c r="G62" i="11"/>
  <c r="G46" i="11"/>
  <c r="G40" i="11"/>
  <c r="G32" i="11"/>
  <c r="G30" i="11"/>
  <c r="G63" i="11"/>
  <c r="G47" i="11"/>
  <c r="G34" i="11"/>
  <c r="G31" i="11"/>
  <c r="G29" i="11"/>
  <c r="G41" i="11"/>
  <c r="G35" i="11"/>
  <c r="G59" i="11"/>
  <c r="G22" i="11"/>
  <c r="G61" i="11"/>
  <c r="G42" i="11"/>
  <c r="G23" i="11"/>
  <c r="G60" i="11"/>
  <c r="G43" i="11"/>
  <c r="G44" i="11"/>
  <c r="G10" i="11"/>
  <c r="G64" i="11"/>
  <c r="G38" i="11"/>
  <c r="G36" i="11"/>
  <c r="G39" i="11"/>
  <c r="G37" i="11"/>
  <c r="F77" i="11"/>
  <c r="F66" i="11"/>
  <c r="F61" i="11"/>
  <c r="F44" i="11"/>
  <c r="F39" i="11"/>
  <c r="F67" i="11"/>
  <c r="F45" i="11"/>
  <c r="F33" i="11"/>
  <c r="F27" i="11"/>
  <c r="F25" i="11"/>
  <c r="F9" i="11"/>
  <c r="F68" i="11"/>
  <c r="F62" i="11"/>
  <c r="F46" i="11"/>
  <c r="F40" i="11"/>
  <c r="F30" i="11"/>
  <c r="F69" i="11"/>
  <c r="F63" i="11"/>
  <c r="F47" i="11"/>
  <c r="F34" i="11"/>
  <c r="F22" i="11"/>
  <c r="F16" i="11"/>
  <c r="F8" i="11"/>
  <c r="F42" i="11"/>
  <c r="F23" i="11"/>
  <c r="F59" i="11"/>
  <c r="F41" i="11"/>
  <c r="F60" i="11"/>
  <c r="F43" i="11"/>
  <c r="F70" i="11"/>
  <c r="F65" i="11"/>
  <c r="F35" i="11"/>
  <c r="F13" i="11"/>
  <c r="F4" i="11"/>
  <c r="F17" i="11"/>
  <c r="F10" i="11"/>
  <c r="F64" i="11"/>
  <c r="F38" i="11"/>
  <c r="F31" i="11"/>
  <c r="F29" i="11"/>
  <c r="F32" i="11"/>
  <c r="F57" i="10"/>
  <c r="F58" i="10"/>
  <c r="G57" i="10"/>
  <c r="G58" i="10"/>
  <c r="L57" i="10"/>
  <c r="L58" i="10"/>
  <c r="G21" i="10"/>
  <c r="G23" i="10"/>
  <c r="G24" i="10"/>
  <c r="L24" i="10"/>
  <c r="L23" i="10"/>
  <c r="L20" i="10"/>
  <c r="L21" i="10"/>
  <c r="L22" i="10"/>
  <c r="G22" i="10"/>
  <c r="G20" i="10"/>
  <c r="G17" i="10"/>
  <c r="G16" i="8"/>
  <c r="G18" i="10"/>
  <c r="G19" i="10"/>
  <c r="G73" i="10"/>
  <c r="G74" i="10"/>
  <c r="G75" i="10"/>
  <c r="G77" i="10"/>
  <c r="G72" i="10"/>
  <c r="G76" i="10"/>
  <c r="L74" i="10"/>
  <c r="L52" i="10"/>
  <c r="L34" i="10"/>
  <c r="L32" i="10"/>
  <c r="L53" i="10"/>
  <c r="L39" i="10"/>
  <c r="L37" i="10"/>
  <c r="L35" i="10"/>
  <c r="L76" i="10"/>
  <c r="L54" i="10"/>
  <c r="L41" i="10"/>
  <c r="L38" i="10"/>
  <c r="L36" i="10"/>
  <c r="L49" i="10"/>
  <c r="L42" i="10"/>
  <c r="L51" i="10"/>
  <c r="L45" i="10"/>
  <c r="L48" i="10"/>
  <c r="L46" i="10"/>
  <c r="L77" i="10"/>
  <c r="L31" i="10"/>
  <c r="L50" i="10"/>
  <c r="F72" i="10"/>
  <c r="F67" i="10"/>
  <c r="F50" i="10"/>
  <c r="F45" i="10"/>
  <c r="F31" i="10"/>
  <c r="F21" i="10"/>
  <c r="F73" i="10"/>
  <c r="F68" i="10"/>
  <c r="F51" i="10"/>
  <c r="F46" i="10"/>
  <c r="F74" i="10"/>
  <c r="F52" i="10"/>
  <c r="F40" i="10"/>
  <c r="F34" i="10"/>
  <c r="F32" i="10"/>
  <c r="F24" i="10"/>
  <c r="F76" i="10"/>
  <c r="F70" i="10"/>
  <c r="F54" i="10"/>
  <c r="F41" i="10"/>
  <c r="F30" i="10"/>
  <c r="F13" i="10"/>
  <c r="F87" i="10"/>
  <c r="F77" i="10"/>
  <c r="F48" i="10"/>
  <c r="F42" i="10"/>
  <c r="F17" i="10"/>
  <c r="F71" i="10"/>
  <c r="F69" i="10"/>
  <c r="F25" i="10"/>
  <c r="F19" i="10"/>
  <c r="F22" i="10"/>
  <c r="F43" i="10"/>
  <c r="F39" i="10"/>
  <c r="F8" i="10"/>
  <c r="F9" i="10"/>
  <c r="F47" i="10"/>
  <c r="F44" i="10"/>
  <c r="F37" i="10"/>
  <c r="F16" i="10"/>
  <c r="F75" i="10"/>
  <c r="F35" i="10"/>
  <c r="F23" i="10"/>
  <c r="F18" i="10"/>
  <c r="F66" i="10"/>
  <c r="F53" i="10"/>
  <c r="F49" i="10"/>
  <c r="F10" i="10"/>
  <c r="F4" i="10"/>
  <c r="F20" i="10"/>
  <c r="F36" i="10"/>
  <c r="F38" i="10"/>
  <c r="G68" i="10"/>
  <c r="G51" i="10"/>
  <c r="G46" i="10"/>
  <c r="G52" i="10"/>
  <c r="G40" i="10"/>
  <c r="G34" i="10"/>
  <c r="G32" i="10"/>
  <c r="G69" i="10"/>
  <c r="G53" i="10"/>
  <c r="G47" i="10"/>
  <c r="G39" i="10"/>
  <c r="G37" i="10"/>
  <c r="G35" i="10"/>
  <c r="G10" i="10"/>
  <c r="G48" i="10"/>
  <c r="G42" i="10"/>
  <c r="G71" i="10"/>
  <c r="G66" i="10"/>
  <c r="G43" i="10"/>
  <c r="G67" i="10"/>
  <c r="G41" i="10"/>
  <c r="G54" i="10"/>
  <c r="G44" i="10"/>
  <c r="G30" i="10"/>
  <c r="G50" i="10"/>
  <c r="G45" i="10"/>
  <c r="G38" i="10"/>
  <c r="G49" i="10"/>
  <c r="G36" i="10"/>
  <c r="G31" i="10"/>
  <c r="G70" i="10"/>
  <c r="P7" i="2"/>
  <c r="L8" i="3"/>
  <c r="P12" i="2"/>
  <c r="L66" i="11" s="1"/>
  <c r="G23" i="3"/>
  <c r="G28" i="3"/>
  <c r="G27" i="3"/>
  <c r="G35" i="3"/>
  <c r="G30" i="3"/>
  <c r="G25" i="3"/>
  <c r="G20" i="3"/>
  <c r="G14" i="3"/>
  <c r="G31" i="3"/>
  <c r="G15" i="3"/>
  <c r="G34" i="3"/>
  <c r="G29" i="3"/>
  <c r="G24" i="3"/>
  <c r="G19" i="3"/>
  <c r="G13" i="3"/>
  <c r="G17" i="3"/>
  <c r="G32" i="3"/>
  <c r="G21" i="3"/>
  <c r="F4" i="3"/>
  <c r="AF12" i="2"/>
  <c r="AF23" i="2"/>
  <c r="AF14" i="2"/>
  <c r="AF13" i="2"/>
  <c r="AQ17" i="3"/>
  <c r="AP21" i="3"/>
  <c r="AP20" i="3"/>
  <c r="AP13" i="3"/>
  <c r="AP17" i="3" s="1"/>
  <c r="AP8" i="3"/>
  <c r="AP9" i="3" s="1"/>
  <c r="AP10" i="3" s="1"/>
  <c r="AP11" i="3" s="1"/>
  <c r="AU23" i="3"/>
  <c r="AU35" i="3" s="1"/>
  <c r="AU19" i="3"/>
  <c r="AU13" i="3"/>
  <c r="AU7" i="3"/>
  <c r="AT16" i="3"/>
  <c r="AS24" i="3"/>
  <c r="AS25" i="3" s="1"/>
  <c r="AS35" i="3" s="1"/>
  <c r="AS19" i="3"/>
  <c r="AS20" i="3" s="1"/>
  <c r="AS21" i="3" s="1"/>
  <c r="AS8" i="3"/>
  <c r="AS9" i="3" s="1"/>
  <c r="AS10" i="3" s="1"/>
  <c r="AS11" i="3" s="1"/>
  <c r="AR10" i="3"/>
  <c r="AR9" i="3"/>
  <c r="AR8" i="3"/>
  <c r="AO21" i="3"/>
  <c r="AO20" i="3"/>
  <c r="AO19" i="3"/>
  <c r="AO10" i="3"/>
  <c r="AO9" i="3"/>
  <c r="AO8" i="3"/>
  <c r="M8" i="1" l="1"/>
  <c r="AP53" i="11"/>
  <c r="AP55" i="11"/>
  <c r="N53" i="11"/>
  <c r="N55" i="11"/>
  <c r="AQ53" i="11"/>
  <c r="AQ55" i="11"/>
  <c r="AP52" i="11"/>
  <c r="AP51" i="11"/>
  <c r="AQ52" i="11"/>
  <c r="AQ51" i="11"/>
  <c r="N52" i="11"/>
  <c r="N51" i="11"/>
  <c r="N65" i="8"/>
  <c r="N67" i="8"/>
  <c r="N66" i="8"/>
  <c r="N54" i="11"/>
  <c r="N50" i="11"/>
  <c r="AQ24" i="11"/>
  <c r="AQ54" i="11"/>
  <c r="AQ50" i="11"/>
  <c r="AP24" i="11"/>
  <c r="AP50" i="11"/>
  <c r="AP54" i="11"/>
  <c r="AQ15" i="10"/>
  <c r="AQ21" i="10" s="1"/>
  <c r="N24" i="11"/>
  <c r="L77" i="8"/>
  <c r="L73" i="10"/>
  <c r="AS15" i="11"/>
  <c r="AS17" i="11" s="1"/>
  <c r="AP56" i="11"/>
  <c r="AP36" i="11"/>
  <c r="AP25" i="11"/>
  <c r="AP27" i="11"/>
  <c r="AP33" i="11"/>
  <c r="AP37" i="11"/>
  <c r="AP43" i="11"/>
  <c r="AP28" i="11"/>
  <c r="AP44" i="11"/>
  <c r="AP26" i="11"/>
  <c r="AP42" i="11"/>
  <c r="AP23" i="11"/>
  <c r="AQ36" i="11"/>
  <c r="AQ56" i="11"/>
  <c r="AQ23" i="11"/>
  <c r="AQ44" i="11"/>
  <c r="AQ25" i="11"/>
  <c r="AQ27" i="11"/>
  <c r="AQ33" i="11"/>
  <c r="AQ37" i="11"/>
  <c r="AQ43" i="11"/>
  <c r="AQ26" i="11"/>
  <c r="AQ42" i="11"/>
  <c r="AQ28" i="11"/>
  <c r="AP15" i="11"/>
  <c r="AO15" i="11"/>
  <c r="AR15" i="11"/>
  <c r="AP15" i="10"/>
  <c r="AP22" i="10" s="1"/>
  <c r="AO15" i="10"/>
  <c r="AO17" i="10" s="1"/>
  <c r="AS15" i="10"/>
  <c r="AR15" i="10"/>
  <c r="AS15" i="19"/>
  <c r="AS14" i="19"/>
  <c r="AS21" i="8"/>
  <c r="AS18" i="8"/>
  <c r="AS26" i="8"/>
  <c r="AS22" i="8"/>
  <c r="AS16" i="8"/>
  <c r="AS24" i="8"/>
  <c r="AS23" i="8"/>
  <c r="AS20" i="8"/>
  <c r="AS19" i="8"/>
  <c r="AS27" i="8"/>
  <c r="AS17" i="8"/>
  <c r="AS25" i="8"/>
  <c r="N50" i="8"/>
  <c r="N41" i="8"/>
  <c r="L26" i="8"/>
  <c r="N54" i="8"/>
  <c r="N49" i="8"/>
  <c r="N40" i="8"/>
  <c r="N12" i="23"/>
  <c r="L22" i="12"/>
  <c r="N51" i="8"/>
  <c r="N17" i="12"/>
  <c r="N45" i="8"/>
  <c r="N60" i="8"/>
  <c r="N59" i="8"/>
  <c r="L27" i="8"/>
  <c r="N24" i="8"/>
  <c r="N25" i="8"/>
  <c r="N19" i="22"/>
  <c r="N24" i="22"/>
  <c r="N28" i="11"/>
  <c r="N26" i="11"/>
  <c r="N84" i="8"/>
  <c r="N84" i="10"/>
  <c r="N62" i="10"/>
  <c r="N61" i="10"/>
  <c r="N63" i="10"/>
  <c r="N33" i="10"/>
  <c r="N35" i="8"/>
  <c r="L56" i="11"/>
  <c r="N56" i="11"/>
  <c r="N59" i="10"/>
  <c r="N60" i="10"/>
  <c r="L19" i="10"/>
  <c r="N7" i="3"/>
  <c r="N16" i="10"/>
  <c r="N11" i="3"/>
  <c r="L11" i="3"/>
  <c r="L7" i="3"/>
  <c r="L19" i="21"/>
  <c r="N14" i="22"/>
  <c r="L18" i="21"/>
  <c r="N17" i="21"/>
  <c r="N16" i="21"/>
  <c r="N16" i="20"/>
  <c r="L21" i="20"/>
  <c r="N19" i="20"/>
  <c r="N20" i="20"/>
  <c r="N18" i="20"/>
  <c r="N17" i="20"/>
  <c r="L14" i="19"/>
  <c r="L15" i="19"/>
  <c r="N17" i="18"/>
  <c r="N16" i="13"/>
  <c r="L18" i="13"/>
  <c r="L17" i="13"/>
  <c r="N16" i="12"/>
  <c r="L73" i="11"/>
  <c r="N74" i="11"/>
  <c r="L74" i="11"/>
  <c r="N82" i="10"/>
  <c r="N83" i="10"/>
  <c r="N80" i="10"/>
  <c r="N81" i="10"/>
  <c r="N16" i="11"/>
  <c r="L40" i="11"/>
  <c r="N58" i="10"/>
  <c r="N70" i="11"/>
  <c r="N41" i="11"/>
  <c r="N35" i="11"/>
  <c r="N42" i="11"/>
  <c r="N43" i="11"/>
  <c r="N38" i="11"/>
  <c r="N23" i="11"/>
  <c r="N45" i="11"/>
  <c r="N44" i="11"/>
  <c r="N39" i="11"/>
  <c r="N69" i="11"/>
  <c r="N34" i="11"/>
  <c r="N30" i="11"/>
  <c r="N27" i="11"/>
  <c r="N67" i="11"/>
  <c r="N46" i="11"/>
  <c r="N31" i="11"/>
  <c r="N29" i="11"/>
  <c r="N25" i="11"/>
  <c r="N47" i="11"/>
  <c r="N32" i="11"/>
  <c r="N25" i="10"/>
  <c r="L68" i="11"/>
  <c r="L62" i="11"/>
  <c r="L63" i="11"/>
  <c r="N36" i="11"/>
  <c r="N37" i="11"/>
  <c r="L64" i="11"/>
  <c r="L59" i="11"/>
  <c r="L36" i="11"/>
  <c r="L61" i="11"/>
  <c r="L60" i="11"/>
  <c r="N62" i="11"/>
  <c r="N61" i="11"/>
  <c r="L65" i="11"/>
  <c r="L37" i="11"/>
  <c r="L33" i="11"/>
  <c r="N24" i="10"/>
  <c r="N57" i="10"/>
  <c r="L25" i="10"/>
  <c r="N23" i="10"/>
  <c r="N20" i="10"/>
  <c r="N21" i="10"/>
  <c r="N22" i="10"/>
  <c r="L47" i="10"/>
  <c r="L18" i="10"/>
  <c r="L40" i="10"/>
  <c r="L75" i="10"/>
  <c r="L69" i="10"/>
  <c r="L70" i="10"/>
  <c r="N43" i="10"/>
  <c r="L71" i="10"/>
  <c r="L66" i="10"/>
  <c r="L43" i="10"/>
  <c r="N68" i="10"/>
  <c r="L44" i="10"/>
  <c r="L68" i="10"/>
  <c r="N44" i="10"/>
  <c r="L72" i="10"/>
  <c r="L17" i="10"/>
  <c r="L67" i="10"/>
  <c r="N69" i="10"/>
  <c r="N76" i="10"/>
  <c r="N54" i="10"/>
  <c r="N41" i="10"/>
  <c r="N38" i="10"/>
  <c r="N36" i="10"/>
  <c r="N77" i="10"/>
  <c r="N48" i="10"/>
  <c r="N42" i="10"/>
  <c r="N50" i="10"/>
  <c r="N45" i="10"/>
  <c r="N31" i="10"/>
  <c r="N51" i="10"/>
  <c r="N46" i="10"/>
  <c r="N39" i="10"/>
  <c r="N37" i="10"/>
  <c r="N53" i="10"/>
  <c r="N74" i="10"/>
  <c r="N49" i="10"/>
  <c r="N35" i="10"/>
  <c r="N34" i="10"/>
  <c r="N52" i="10"/>
  <c r="N32" i="10"/>
  <c r="N8" i="3"/>
  <c r="P13" i="2"/>
  <c r="N26" i="8" s="1"/>
  <c r="C4" i="3"/>
  <c r="B4" i="3"/>
  <c r="AP16" i="3"/>
  <c r="AT21" i="3"/>
  <c r="AU17" i="3"/>
  <c r="AU16" i="3"/>
  <c r="AU24" i="3"/>
  <c r="AU25" i="3" s="1"/>
  <c r="AU20" i="3"/>
  <c r="AU21" i="3" s="1"/>
  <c r="AU8" i="3"/>
  <c r="AU9" i="3" s="1"/>
  <c r="AU10" i="3" s="1"/>
  <c r="AU11" i="3" s="1"/>
  <c r="AT8" i="3"/>
  <c r="AT9" i="3" s="1"/>
  <c r="AT10" i="3" s="1"/>
  <c r="AT11" i="3" s="1"/>
  <c r="AT17" i="3"/>
  <c r="AT15" i="3"/>
  <c r="AQ22" i="10" l="1"/>
  <c r="AQ24" i="10"/>
  <c r="AQ16" i="10"/>
  <c r="AQ25" i="10"/>
  <c r="AQ17" i="10"/>
  <c r="AQ18" i="10"/>
  <c r="AQ23" i="10"/>
  <c r="AQ19" i="10"/>
  <c r="AQ20" i="10"/>
  <c r="AT23" i="3"/>
  <c r="AT27" i="3"/>
  <c r="AS16" i="11"/>
  <c r="AP23" i="10"/>
  <c r="AP24" i="10"/>
  <c r="AP17" i="10"/>
  <c r="AR16" i="11"/>
  <c r="AR17" i="11"/>
  <c r="AO17" i="11"/>
  <c r="AO16" i="11"/>
  <c r="AP25" i="10"/>
  <c r="AP17" i="11"/>
  <c r="AP16" i="11"/>
  <c r="AO18" i="10"/>
  <c r="AO21" i="10"/>
  <c r="AO19" i="10"/>
  <c r="AP16" i="10"/>
  <c r="AP20" i="10"/>
  <c r="AP18" i="10"/>
  <c r="AP19" i="10"/>
  <c r="AP21" i="10"/>
  <c r="AO23" i="10"/>
  <c r="AO24" i="10"/>
  <c r="AO16" i="10"/>
  <c r="AO25" i="10"/>
  <c r="AO22" i="10"/>
  <c r="AO20" i="10"/>
  <c r="AR18" i="10"/>
  <c r="AR23" i="10"/>
  <c r="AR20" i="10"/>
  <c r="AR19" i="10"/>
  <c r="AR17" i="10"/>
  <c r="AR25" i="10"/>
  <c r="AR16" i="10"/>
  <c r="AR24" i="10"/>
  <c r="AR21" i="10"/>
  <c r="AR22" i="10"/>
  <c r="AS21" i="10"/>
  <c r="AS18" i="10"/>
  <c r="AS23" i="10"/>
  <c r="AS22" i="10"/>
  <c r="AS20" i="10"/>
  <c r="AS19" i="10"/>
  <c r="AS16" i="10"/>
  <c r="AS24" i="10"/>
  <c r="AS17" i="10"/>
  <c r="AS25" i="10"/>
  <c r="N22" i="12"/>
  <c r="N27" i="8"/>
  <c r="N64" i="11"/>
  <c r="N19" i="10"/>
  <c r="N60" i="11"/>
  <c r="N63" i="11"/>
  <c r="N70" i="10"/>
  <c r="N71" i="10"/>
  <c r="N75" i="8"/>
  <c r="N67" i="10"/>
  <c r="N71" i="8"/>
  <c r="N74" i="8"/>
  <c r="N19" i="21"/>
  <c r="N21" i="20"/>
  <c r="N18" i="21"/>
  <c r="N14" i="19"/>
  <c r="N15" i="19"/>
  <c r="N18" i="13"/>
  <c r="N17" i="13"/>
  <c r="N73" i="11"/>
  <c r="N59" i="11"/>
  <c r="N65" i="11"/>
  <c r="N33" i="11"/>
  <c r="N68" i="11"/>
  <c r="N66" i="11"/>
  <c r="N40" i="11"/>
  <c r="N47" i="10"/>
  <c r="N18" i="10"/>
  <c r="M10" i="1"/>
  <c r="N66" i="10"/>
  <c r="N72" i="10"/>
  <c r="N73" i="10"/>
  <c r="N40" i="10"/>
  <c r="N75" i="10"/>
  <c r="N17" i="10"/>
  <c r="AR24" i="3"/>
  <c r="AR25" i="3" s="1"/>
  <c r="AJ28" i="3"/>
  <c r="AJ29" i="3" s="1"/>
  <c r="AJ30" i="3" s="1"/>
  <c r="AJ31" i="3" s="1"/>
  <c r="AJ32" i="3" s="1"/>
  <c r="AK25" i="3"/>
  <c r="AK24" i="3"/>
  <c r="AK23" i="3"/>
  <c r="AK21" i="3"/>
  <c r="AK20" i="3"/>
  <c r="AK19" i="3"/>
  <c r="AK17" i="3"/>
  <c r="AK16" i="3"/>
  <c r="AK13" i="3"/>
  <c r="AR17" i="3" l="1"/>
  <c r="P8" i="3"/>
  <c r="AL19" i="3" l="1"/>
  <c r="AT19" i="3" s="1"/>
  <c r="AL29" i="3"/>
  <c r="AL23" i="3"/>
  <c r="AL24" i="3" s="1"/>
  <c r="AL25" i="3" s="1"/>
  <c r="AL27" i="3" s="1"/>
  <c r="AL28" i="3" s="1"/>
  <c r="AL30" i="3" l="1"/>
  <c r="AL31" i="3" s="1"/>
  <c r="AL32" i="3" s="1"/>
  <c r="AL34" i="3" s="1"/>
  <c r="AL35" i="3" s="1"/>
  <c r="F6" i="2" l="1"/>
  <c r="P33" i="2"/>
  <c r="Q6" i="2"/>
  <c r="Q7" i="2" s="1"/>
  <c r="Q8" i="2" s="1"/>
  <c r="Q9" i="2" s="1"/>
  <c r="Q10" i="2" s="1"/>
  <c r="Q11" i="2" s="1"/>
  <c r="Q12" i="2" s="1"/>
  <c r="Q13" i="2" s="1"/>
  <c r="Q14" i="2" s="1"/>
  <c r="Q15" i="2" s="1"/>
  <c r="Q16" i="2" s="1"/>
  <c r="Q17" i="2" s="1"/>
  <c r="Q18" i="2" s="1"/>
  <c r="Q19" i="2" s="1"/>
  <c r="Q20" i="2" s="1"/>
  <c r="Q21" i="2" s="1"/>
  <c r="Q22" i="2" s="1"/>
  <c r="Q23" i="2" s="1"/>
  <c r="Q24" i="2" s="1"/>
  <c r="Q25" i="2" s="1"/>
  <c r="Q26" i="2" s="1"/>
  <c r="Q27" i="2" s="1"/>
  <c r="Q28" i="2" s="1"/>
  <c r="Q29" i="2" s="1"/>
  <c r="B2" i="1" l="1"/>
  <c r="B25" i="1"/>
  <c r="AA29" i="2"/>
  <c r="AA30" i="2"/>
  <c r="AF30" i="2" s="1"/>
  <c r="AA21" i="2"/>
  <c r="AF21" i="2" s="1"/>
  <c r="AA32" i="2"/>
  <c r="AF32" i="2" s="1"/>
  <c r="AA16" i="2"/>
  <c r="AF16" i="2" s="1"/>
  <c r="AA31" i="2"/>
  <c r="AF31" i="2" s="1"/>
  <c r="AA26" i="2"/>
  <c r="AF26" i="2" s="1"/>
  <c r="AA27" i="2"/>
  <c r="AF27" i="2" s="1"/>
  <c r="AA24" i="2"/>
  <c r="AF24" i="2" s="1"/>
  <c r="AA25" i="2"/>
  <c r="AF25" i="2" s="1"/>
  <c r="AA22" i="2"/>
  <c r="AF22" i="2" s="1"/>
  <c r="AA20" i="2"/>
  <c r="AF20" i="2" s="1"/>
  <c r="AA18" i="2"/>
  <c r="AF18" i="2" s="1"/>
  <c r="AA19" i="2"/>
  <c r="AF19" i="2" s="1"/>
  <c r="AA17" i="2"/>
  <c r="AF17" i="2" s="1"/>
  <c r="AA15" i="2"/>
  <c r="AF15" i="2" s="1"/>
  <c r="AA10" i="2"/>
  <c r="AF10" i="2" s="1"/>
  <c r="AA11" i="2"/>
  <c r="AF11" i="2" s="1"/>
  <c r="AA8" i="2"/>
  <c r="AF8" i="2" s="1"/>
  <c r="AA9" i="2"/>
  <c r="AF9" i="2" s="1"/>
  <c r="AF6" i="2"/>
  <c r="AA7" i="2"/>
  <c r="AF7" i="2" s="1"/>
  <c r="R12" i="2"/>
  <c r="AF5" i="2"/>
  <c r="R13" i="2"/>
  <c r="R17" i="2"/>
  <c r="R21" i="2"/>
  <c r="AE11" i="3" s="1"/>
  <c r="R14" i="2"/>
  <c r="R18" i="2"/>
  <c r="R19" i="2"/>
  <c r="R16" i="2"/>
  <c r="R15" i="2"/>
  <c r="R11" i="2"/>
  <c r="R10" i="2"/>
  <c r="R7" i="2"/>
  <c r="R6" i="2"/>
  <c r="R5" i="2"/>
  <c r="AF29" i="2" l="1"/>
  <c r="R4" i="2"/>
  <c r="L58" i="8"/>
  <c r="G10" i="8"/>
  <c r="L80" i="8"/>
  <c r="L78" i="8"/>
  <c r="L81" i="8"/>
  <c r="F64" i="8"/>
  <c r="F81" i="8"/>
  <c r="F71" i="8"/>
  <c r="F76" i="8"/>
  <c r="F74" i="8"/>
  <c r="F79" i="8"/>
  <c r="F72" i="8"/>
  <c r="F70" i="8"/>
  <c r="F80" i="8"/>
  <c r="F75" i="8"/>
  <c r="F73" i="8"/>
  <c r="F78" i="8"/>
  <c r="F77" i="8"/>
  <c r="G64" i="8"/>
  <c r="G74" i="8"/>
  <c r="G72" i="8"/>
  <c r="G70" i="8"/>
  <c r="G75" i="8"/>
  <c r="G73" i="8"/>
  <c r="G71" i="8"/>
  <c r="G76" i="8"/>
  <c r="G79" i="8"/>
  <c r="G81" i="8"/>
  <c r="G77" i="8"/>
  <c r="G78" i="8"/>
  <c r="G80" i="8"/>
  <c r="L64" i="8"/>
  <c r="P31" i="2"/>
  <c r="F63" i="8"/>
  <c r="G63" i="8"/>
  <c r="G60" i="8"/>
  <c r="G58" i="8"/>
  <c r="G56" i="8"/>
  <c r="G59" i="8"/>
  <c r="G57" i="8"/>
  <c r="F60" i="8"/>
  <c r="F58" i="8"/>
  <c r="F56" i="8"/>
  <c r="F59" i="8"/>
  <c r="F57" i="8"/>
  <c r="G55" i="8"/>
  <c r="F55" i="8"/>
  <c r="L57" i="8"/>
  <c r="L56" i="8"/>
  <c r="L55" i="8"/>
  <c r="G32" i="8"/>
  <c r="F53" i="8"/>
  <c r="F44" i="8"/>
  <c r="F51" i="8"/>
  <c r="F33" i="8"/>
  <c r="F34" i="8"/>
  <c r="F43" i="8"/>
  <c r="F38" i="8"/>
  <c r="F49" i="8"/>
  <c r="F36" i="8"/>
  <c r="F37" i="8"/>
  <c r="F45" i="8"/>
  <c r="F46" i="8"/>
  <c r="F52" i="8"/>
  <c r="F47" i="8"/>
  <c r="F48" i="8"/>
  <c r="F39" i="8"/>
  <c r="F42" i="8"/>
  <c r="G39" i="8"/>
  <c r="G49" i="8"/>
  <c r="G51" i="8"/>
  <c r="G52" i="8"/>
  <c r="G53" i="8"/>
  <c r="G37" i="8"/>
  <c r="G45" i="8"/>
  <c r="G42" i="8"/>
  <c r="G36" i="8"/>
  <c r="G44" i="8"/>
  <c r="G47" i="8"/>
  <c r="G33" i="8"/>
  <c r="G34" i="8"/>
  <c r="G43" i="8"/>
  <c r="G38" i="8"/>
  <c r="G46" i="8"/>
  <c r="G48" i="8"/>
  <c r="L39" i="8"/>
  <c r="L53" i="8"/>
  <c r="L34" i="8"/>
  <c r="L33" i="8"/>
  <c r="L36" i="8"/>
  <c r="L43" i="8"/>
  <c r="L37" i="8"/>
  <c r="L38" i="8"/>
  <c r="F32" i="8"/>
  <c r="G27" i="8"/>
  <c r="F21" i="8"/>
  <c r="F9" i="8"/>
  <c r="F27" i="8"/>
  <c r="F20" i="8"/>
  <c r="F8" i="8"/>
  <c r="F24" i="8"/>
  <c r="F17" i="8"/>
  <c r="F10" i="8"/>
  <c r="F23" i="8"/>
  <c r="F16" i="8"/>
  <c r="F25" i="8"/>
  <c r="F18" i="8"/>
  <c r="F22" i="8"/>
  <c r="F13" i="8"/>
  <c r="F26" i="8"/>
  <c r="F19" i="8"/>
  <c r="F4" i="8"/>
  <c r="G25" i="8"/>
  <c r="G26" i="8"/>
  <c r="G23" i="8"/>
  <c r="G24" i="8"/>
  <c r="L18" i="8"/>
  <c r="G22" i="8"/>
  <c r="G17" i="8"/>
  <c r="G21" i="8"/>
  <c r="G18" i="8"/>
  <c r="AP34" i="3"/>
  <c r="AT35" i="3"/>
  <c r="AT28" i="3"/>
  <c r="AT29" i="3" s="1"/>
  <c r="AT30" i="3" s="1"/>
  <c r="AT31" i="3" s="1"/>
  <c r="AT32" i="3" s="1"/>
  <c r="AT34" i="3" s="1"/>
  <c r="AP23" i="3"/>
  <c r="AP24" i="3" s="1"/>
  <c r="AP25" i="3" s="1"/>
  <c r="AP27" i="3"/>
  <c r="AH35" i="3"/>
  <c r="F35" i="3"/>
  <c r="F34" i="3"/>
  <c r="AH30" i="3"/>
  <c r="AH25" i="3"/>
  <c r="AH28" i="3"/>
  <c r="AH31" i="3"/>
  <c r="AH29" i="3"/>
  <c r="AH24" i="3"/>
  <c r="AH32" i="3"/>
  <c r="AH23" i="3"/>
  <c r="AH27" i="3"/>
  <c r="AH19" i="3"/>
  <c r="AH20" i="3"/>
  <c r="AH21" i="3"/>
  <c r="P29" i="2"/>
  <c r="AA28" i="2"/>
  <c r="AA4" i="2" s="1"/>
  <c r="F25" i="3"/>
  <c r="F15" i="3"/>
  <c r="F24" i="3"/>
  <c r="F14" i="3"/>
  <c r="F32" i="3"/>
  <c r="F23" i="3"/>
  <c r="F13" i="3"/>
  <c r="F31" i="3"/>
  <c r="F21" i="3"/>
  <c r="F10" i="3"/>
  <c r="F30" i="3"/>
  <c r="F20" i="3"/>
  <c r="F9" i="3"/>
  <c r="F29" i="3"/>
  <c r="F19" i="3"/>
  <c r="F8" i="3"/>
  <c r="F28" i="3"/>
  <c r="F17" i="3"/>
  <c r="F27" i="3"/>
  <c r="F16" i="3"/>
  <c r="F7" i="3"/>
  <c r="AB12" i="2"/>
  <c r="AB14" i="2"/>
  <c r="AB13" i="2"/>
  <c r="J7" i="1"/>
  <c r="J9" i="1"/>
  <c r="B10" i="1" s="1"/>
  <c r="AC25" i="2"/>
  <c r="AC24" i="2"/>
  <c r="AC20" i="2"/>
  <c r="AC16" i="2"/>
  <c r="AC10" i="2"/>
  <c r="AC6" i="2"/>
  <c r="AC14" i="2"/>
  <c r="AC23" i="2"/>
  <c r="AC19" i="2"/>
  <c r="AC15" i="2"/>
  <c r="AC9" i="2"/>
  <c r="AC5" i="2"/>
  <c r="AC13" i="2"/>
  <c r="AC22" i="2"/>
  <c r="AC18" i="2"/>
  <c r="AC12" i="2"/>
  <c r="AC8" i="2"/>
  <c r="AC26" i="2"/>
  <c r="AC32" i="2"/>
  <c r="AC21" i="2"/>
  <c r="AC17" i="2"/>
  <c r="AC11" i="2"/>
  <c r="AC7" i="2"/>
  <c r="AF4" i="2" l="1"/>
  <c r="P27" i="2"/>
  <c r="P25" i="2"/>
  <c r="L80" i="11" s="1"/>
  <c r="AF28" i="2"/>
  <c r="C7" i="3"/>
  <c r="B7" i="3"/>
  <c r="B8" i="3"/>
  <c r="C8" i="3"/>
  <c r="N58" i="8"/>
  <c r="N46" i="8"/>
  <c r="L79" i="8"/>
  <c r="L72" i="8"/>
  <c r="N73" i="8"/>
  <c r="L74" i="8"/>
  <c r="L75" i="8"/>
  <c r="L71" i="8"/>
  <c r="N72" i="8"/>
  <c r="L76" i="8"/>
  <c r="L70" i="8"/>
  <c r="L73" i="8"/>
  <c r="N80" i="8"/>
  <c r="N78" i="8"/>
  <c r="N81" i="8"/>
  <c r="N64" i="8"/>
  <c r="L44" i="8"/>
  <c r="L52" i="8"/>
  <c r="F8" i="2"/>
  <c r="AO21" i="12" s="1"/>
  <c r="AO22" i="12" s="1"/>
  <c r="N56" i="8"/>
  <c r="N57" i="8"/>
  <c r="N55" i="8"/>
  <c r="L47" i="8"/>
  <c r="L48" i="8"/>
  <c r="N47" i="8"/>
  <c r="N48" i="8"/>
  <c r="N37" i="8"/>
  <c r="N38" i="8"/>
  <c r="N53" i="8"/>
  <c r="N42" i="8"/>
  <c r="N39" i="8"/>
  <c r="N33" i="8"/>
  <c r="N34" i="8"/>
  <c r="N43" i="8"/>
  <c r="N36" i="8"/>
  <c r="L23" i="8"/>
  <c r="L22" i="8"/>
  <c r="L21" i="8"/>
  <c r="N18" i="8"/>
  <c r="L20" i="8"/>
  <c r="L17" i="8"/>
  <c r="L19" i="8"/>
  <c r="L16" i="8"/>
  <c r="AT24" i="3"/>
  <c r="AT25" i="3" s="1"/>
  <c r="AP35" i="3"/>
  <c r="AP28" i="3"/>
  <c r="AP32" i="3"/>
  <c r="AP31" i="3"/>
  <c r="AP30" i="3"/>
  <c r="AP29" i="3"/>
  <c r="AP15" i="3"/>
  <c r="N77" i="11" l="1"/>
  <c r="N80" i="11"/>
  <c r="L87" i="10"/>
  <c r="L77" i="11"/>
  <c r="N87" i="10"/>
  <c r="L87" i="8"/>
  <c r="L90" i="8"/>
  <c r="N87" i="8"/>
  <c r="N90" i="8"/>
  <c r="M6" i="1"/>
  <c r="AG5" i="2"/>
  <c r="P10" i="2" s="1"/>
  <c r="G9" i="19" s="1"/>
  <c r="AG6" i="2"/>
  <c r="N8" i="18"/>
  <c r="N14" i="18"/>
  <c r="N8" i="15"/>
  <c r="N13" i="15"/>
  <c r="N8" i="14"/>
  <c r="N14" i="14"/>
  <c r="N13" i="13"/>
  <c r="N8" i="13"/>
  <c r="N13" i="21"/>
  <c r="N8" i="22"/>
  <c r="N13" i="20"/>
  <c r="N8" i="21"/>
  <c r="N13" i="12"/>
  <c r="N8" i="20"/>
  <c r="N29" i="3"/>
  <c r="N13" i="11"/>
  <c r="N8" i="12"/>
  <c r="N13" i="10"/>
  <c r="N8" i="11"/>
  <c r="N8" i="10"/>
  <c r="N8" i="19"/>
  <c r="N13" i="8"/>
  <c r="N19" i="3"/>
  <c r="N10" i="3"/>
  <c r="N8" i="8"/>
  <c r="N31" i="3"/>
  <c r="N17" i="3"/>
  <c r="N32" i="3"/>
  <c r="N27" i="3"/>
  <c r="N9" i="19"/>
  <c r="N35" i="3"/>
  <c r="N10" i="18"/>
  <c r="N28" i="3"/>
  <c r="N21" i="3"/>
  <c r="N20" i="3"/>
  <c r="N23" i="3"/>
  <c r="N9" i="15"/>
  <c r="N11" i="14"/>
  <c r="N30" i="3"/>
  <c r="N24" i="3"/>
  <c r="N25" i="3"/>
  <c r="P28" i="2"/>
  <c r="N34" i="3"/>
  <c r="N10" i="20"/>
  <c r="N10" i="11"/>
  <c r="N10" i="14"/>
  <c r="N9" i="20"/>
  <c r="N9" i="10"/>
  <c r="N10" i="13"/>
  <c r="N11" i="18"/>
  <c r="N9" i="13"/>
  <c r="N9" i="11"/>
  <c r="N9" i="12"/>
  <c r="N9" i="18"/>
  <c r="N14" i="3"/>
  <c r="N15" i="3"/>
  <c r="L10" i="3"/>
  <c r="L14" i="3"/>
  <c r="L15" i="3"/>
  <c r="N9" i="3"/>
  <c r="N10" i="15"/>
  <c r="N10" i="12"/>
  <c r="N10" i="21"/>
  <c r="N9" i="21"/>
  <c r="N16" i="3"/>
  <c r="N9" i="22"/>
  <c r="N9" i="14"/>
  <c r="N13" i="3"/>
  <c r="N10" i="10"/>
  <c r="L9" i="22"/>
  <c r="L9" i="21"/>
  <c r="L10" i="21"/>
  <c r="L10" i="20"/>
  <c r="L9" i="20"/>
  <c r="L9" i="19"/>
  <c r="L9" i="18"/>
  <c r="L10" i="18"/>
  <c r="L11" i="18"/>
  <c r="L10" i="14"/>
  <c r="L9" i="15"/>
  <c r="L10" i="15"/>
  <c r="L11" i="14"/>
  <c r="L9" i="14"/>
  <c r="L10" i="13"/>
  <c r="L9" i="13"/>
  <c r="L10" i="12"/>
  <c r="L9" i="12"/>
  <c r="L10" i="11"/>
  <c r="L9" i="11"/>
  <c r="L21" i="3"/>
  <c r="L10" i="10"/>
  <c r="L9" i="10"/>
  <c r="L16" i="3"/>
  <c r="L27" i="3"/>
  <c r="L29" i="3"/>
  <c r="L17" i="3"/>
  <c r="L20" i="3"/>
  <c r="L19" i="3"/>
  <c r="L13" i="3"/>
  <c r="L34" i="3"/>
  <c r="L9" i="3"/>
  <c r="L35" i="3"/>
  <c r="L24" i="3"/>
  <c r="L23" i="3"/>
  <c r="L30" i="3"/>
  <c r="L31" i="3"/>
  <c r="L28" i="3"/>
  <c r="L32" i="3"/>
  <c r="L25" i="3"/>
  <c r="N10" i="8"/>
  <c r="N9" i="8"/>
  <c r="L9" i="8"/>
  <c r="L10" i="8"/>
  <c r="N77" i="8"/>
  <c r="N70" i="8"/>
  <c r="N79" i="8"/>
  <c r="N76" i="8"/>
  <c r="N52" i="8"/>
  <c r="N44" i="8"/>
  <c r="N23" i="8"/>
  <c r="N21" i="8"/>
  <c r="N22" i="8"/>
  <c r="N16" i="8"/>
  <c r="N20" i="8"/>
  <c r="N17" i="8"/>
  <c r="N19" i="8"/>
  <c r="P26" i="2"/>
  <c r="G9" i="21" l="1"/>
  <c r="G9" i="22"/>
  <c r="G9" i="20"/>
  <c r="AG4" i="2"/>
  <c r="G9" i="18"/>
  <c r="G10" i="18"/>
  <c r="G10" i="14"/>
  <c r="G9" i="15"/>
  <c r="G9" i="12"/>
  <c r="G9" i="14"/>
  <c r="G9" i="10"/>
  <c r="G9" i="11"/>
  <c r="G9" i="13"/>
  <c r="G9" i="8"/>
  <c r="G16" i="13"/>
  <c r="G18" i="13"/>
  <c r="G17" i="13"/>
  <c r="B11" i="1"/>
  <c r="B11" i="3" l="1"/>
  <c r="C11" i="3"/>
  <c r="P5" i="2" l="1"/>
  <c r="G8" i="19" s="1"/>
  <c r="B12" i="1"/>
  <c r="P17" i="2" l="1"/>
  <c r="P18" i="2"/>
  <c r="L8" i="19"/>
  <c r="G8" i="10"/>
  <c r="L8" i="10" s="1"/>
  <c r="H9" i="3"/>
  <c r="H23" i="3"/>
  <c r="G8" i="15"/>
  <c r="L8" i="15" s="1"/>
  <c r="H29" i="3"/>
  <c r="H13" i="3"/>
  <c r="G8" i="8"/>
  <c r="L8" i="8" s="1"/>
  <c r="H35" i="3"/>
  <c r="H24" i="3"/>
  <c r="G8" i="12"/>
  <c r="L8" i="12" s="1"/>
  <c r="G8" i="14"/>
  <c r="L8" i="14" s="1"/>
  <c r="H34" i="3"/>
  <c r="H17" i="3"/>
  <c r="G8" i="13"/>
  <c r="L8" i="13" s="1"/>
  <c r="H31" i="3"/>
  <c r="G8" i="22"/>
  <c r="L8" i="22" s="1"/>
  <c r="H27" i="3"/>
  <c r="G8" i="20"/>
  <c r="L8" i="20" s="1"/>
  <c r="G8" i="11"/>
  <c r="L8" i="11" s="1"/>
  <c r="H25" i="3"/>
  <c r="H14" i="3"/>
  <c r="H21" i="3"/>
  <c r="G8" i="21"/>
  <c r="L8" i="21" s="1"/>
  <c r="G77" i="11"/>
  <c r="H20" i="3"/>
  <c r="H32" i="3"/>
  <c r="H16" i="3"/>
  <c r="G8" i="18"/>
  <c r="L8" i="18" s="1"/>
  <c r="H15" i="3"/>
  <c r="H28" i="3"/>
  <c r="H10" i="3"/>
  <c r="H30" i="3"/>
  <c r="H19" i="3"/>
  <c r="B32" i="3" l="1"/>
  <c r="C32" i="3"/>
  <c r="C30" i="3"/>
  <c r="B30" i="3"/>
  <c r="C27" i="3"/>
  <c r="B27" i="3"/>
  <c r="C28" i="3"/>
  <c r="B28" i="3"/>
  <c r="C31" i="3"/>
  <c r="B31" i="3"/>
  <c r="B23" i="3"/>
  <c r="C23" i="3"/>
  <c r="B9" i="3"/>
  <c r="C9" i="3"/>
  <c r="C16" i="3"/>
  <c r="B16" i="3"/>
  <c r="C10" i="3"/>
  <c r="B10" i="3"/>
  <c r="C24" i="3"/>
  <c r="B24" i="3"/>
  <c r="C15" i="3"/>
  <c r="B15" i="3"/>
  <c r="C14" i="3"/>
  <c r="B14" i="3"/>
  <c r="C17" i="3"/>
  <c r="B17" i="3"/>
  <c r="C13" i="3"/>
  <c r="B13" i="3"/>
  <c r="B25" i="3"/>
  <c r="C25" i="3"/>
  <c r="B29" i="3"/>
  <c r="C29" i="3"/>
  <c r="E8" i="8"/>
  <c r="AK43" i="10"/>
  <c r="AG15" i="3"/>
  <c r="AK15" i="3" s="1"/>
  <c r="AG14" i="3"/>
  <c r="AK14" i="3" s="1"/>
  <c r="AK36" i="11"/>
  <c r="AO23" i="3"/>
  <c r="AO24" i="3" s="1"/>
  <c r="H63" i="8"/>
  <c r="AR14" i="3"/>
  <c r="AR29" i="3" s="1"/>
  <c r="AO14" i="3"/>
  <c r="AO31" i="3" s="1"/>
  <c r="AK47" i="8"/>
  <c r="I35" i="3"/>
  <c r="B35" i="3" s="1"/>
  <c r="C35" i="3"/>
  <c r="I34" i="3"/>
  <c r="C34" i="3" s="1"/>
  <c r="AG27" i="3"/>
  <c r="AK27" i="3" s="1"/>
  <c r="AG29" i="3"/>
  <c r="AK29" i="3" s="1"/>
  <c r="I20" i="3"/>
  <c r="B20" i="3" s="1"/>
  <c r="I21" i="3"/>
  <c r="B21" i="3" s="1"/>
  <c r="AG28" i="3"/>
  <c r="AK28" i="3" s="1"/>
  <c r="AG30" i="3"/>
  <c r="AK30" i="3" s="1"/>
  <c r="AG32" i="3"/>
  <c r="AK32" i="3" s="1"/>
  <c r="AG31" i="3"/>
  <c r="AK31" i="3" s="1"/>
  <c r="AS14" i="3"/>
  <c r="AS27" i="3" s="1"/>
  <c r="AS28" i="3" s="1"/>
  <c r="AS29" i="3" s="1"/>
  <c r="AS30" i="3" s="1"/>
  <c r="AS31" i="3" s="1"/>
  <c r="AS32" i="3" s="1"/>
  <c r="AS34" i="3" s="1"/>
  <c r="B34" i="3" l="1"/>
  <c r="AO17" i="3"/>
  <c r="AS15" i="3"/>
  <c r="AS16" i="3" s="1"/>
  <c r="AS17" i="3" s="1"/>
  <c r="C21" i="3"/>
  <c r="AO16" i="3"/>
  <c r="AO29" i="3"/>
  <c r="AO32" i="3"/>
  <c r="AR31" i="3"/>
  <c r="AR34" i="3"/>
  <c r="AR32" i="3"/>
  <c r="C20" i="3"/>
  <c r="AO27" i="3"/>
  <c r="AO30" i="3"/>
  <c r="AO28" i="3"/>
  <c r="AO15" i="3"/>
  <c r="AO25" i="3"/>
  <c r="AR15" i="3"/>
  <c r="AR28" i="3"/>
  <c r="AR30" i="3"/>
  <c r="AR27" i="3"/>
  <c r="I19" i="3" l="1"/>
  <c r="C19" i="3" s="1"/>
  <c r="C6" i="3" s="1"/>
  <c r="B19" i="3"/>
  <c r="B5" i="3" s="1"/>
  <c r="H5" i="3" l="1"/>
  <c r="AK5" i="3"/>
  <c r="T5" i="3"/>
  <c r="I5" i="3"/>
  <c r="O5" i="3"/>
  <c r="Q5" i="3"/>
  <c r="AG5" i="3"/>
  <c r="AR5" i="3"/>
  <c r="L5" i="3"/>
  <c r="AH5" i="3"/>
  <c r="J5" i="3"/>
  <c r="G5" i="3"/>
  <c r="AS5" i="3"/>
  <c r="F5" i="3"/>
  <c r="AD5" i="3"/>
  <c r="AT5" i="3"/>
  <c r="AV5" i="3"/>
  <c r="S5" i="3"/>
  <c r="AA5" i="3"/>
  <c r="X5" i="3"/>
  <c r="AP5" i="3"/>
  <c r="V5" i="3"/>
  <c r="AB5" i="3"/>
  <c r="AE13" i="3"/>
  <c r="D5" i="3"/>
  <c r="AN5" i="3"/>
  <c r="P5" i="3"/>
  <c r="K5" i="3"/>
  <c r="AM5" i="3"/>
  <c r="W5" i="3"/>
  <c r="M5" i="3"/>
  <c r="N5" i="3"/>
  <c r="Z5" i="3"/>
  <c r="AJ5" i="3"/>
  <c r="AC5" i="3"/>
  <c r="AH7" i="2" s="1"/>
  <c r="E5" i="3"/>
  <c r="R5" i="3"/>
  <c r="AO5" i="3"/>
  <c r="Y5" i="3"/>
  <c r="AL5" i="3"/>
  <c r="U5" i="3"/>
  <c r="AF5" i="3"/>
  <c r="AO6" i="3"/>
  <c r="S6" i="3"/>
  <c r="AN6" i="3"/>
  <c r="AG6" i="3"/>
  <c r="I6" i="3"/>
  <c r="K6" i="3"/>
  <c r="U6" i="3"/>
  <c r="W6" i="3"/>
  <c r="H6" i="3"/>
  <c r="AM6" i="3"/>
  <c r="D6" i="3"/>
  <c r="Y6" i="3"/>
  <c r="N6" i="3"/>
  <c r="AR6" i="3"/>
  <c r="AL6" i="3"/>
  <c r="AS6" i="3"/>
  <c r="X6" i="3"/>
  <c r="AJ6" i="3"/>
  <c r="R6" i="3"/>
  <c r="E6" i="3"/>
  <c r="M6" i="3"/>
  <c r="AH6" i="3"/>
  <c r="L6" i="3"/>
  <c r="AV6" i="3"/>
  <c r="AA6" i="3"/>
  <c r="G6" i="3"/>
  <c r="AF6" i="3"/>
  <c r="P22" i="2" s="1"/>
  <c r="O6" i="3"/>
  <c r="AC6" i="3"/>
  <c r="V6" i="3"/>
  <c r="T6" i="3"/>
  <c r="F6" i="3"/>
  <c r="AD6" i="3"/>
  <c r="J6" i="3"/>
  <c r="AK6" i="3"/>
  <c r="AT6" i="3"/>
  <c r="AB6" i="3"/>
  <c r="AP6" i="3"/>
  <c r="Z6" i="3"/>
  <c r="Q6" i="3"/>
  <c r="P6" i="3"/>
  <c r="O53" i="11" l="1"/>
  <c r="O55" i="11"/>
  <c r="O52" i="11"/>
  <c r="O51" i="11"/>
  <c r="O66" i="8"/>
  <c r="O67" i="8"/>
  <c r="O65" i="8"/>
  <c r="O50" i="11"/>
  <c r="O54" i="11"/>
  <c r="AH77" i="11"/>
  <c r="O24" i="11"/>
  <c r="O41" i="8"/>
  <c r="O40" i="8"/>
  <c r="O54" i="8"/>
  <c r="O19" i="22"/>
  <c r="O24" i="22"/>
  <c r="O28" i="11"/>
  <c r="O26" i="11"/>
  <c r="O84" i="8"/>
  <c r="O84" i="10"/>
  <c r="O62" i="10"/>
  <c r="O61" i="10"/>
  <c r="O63" i="10"/>
  <c r="O33" i="10"/>
  <c r="O35" i="8"/>
  <c r="O56" i="11"/>
  <c r="AK4" i="3"/>
  <c r="O59" i="10"/>
  <c r="O60" i="10"/>
  <c r="AJ4" i="3"/>
  <c r="O8" i="18"/>
  <c r="O14" i="18"/>
  <c r="O8" i="15"/>
  <c r="O13" i="15"/>
  <c r="O8" i="14"/>
  <c r="O14" i="14"/>
  <c r="O13" i="13"/>
  <c r="O8" i="13"/>
  <c r="O13" i="21"/>
  <c r="O8" i="22"/>
  <c r="O13" i="20"/>
  <c r="O8" i="21"/>
  <c r="O13" i="12"/>
  <c r="O8" i="20"/>
  <c r="O13" i="11"/>
  <c r="O8" i="12"/>
  <c r="O13" i="10"/>
  <c r="O8" i="11"/>
  <c r="AL4" i="3"/>
  <c r="P8" i="2" s="1"/>
  <c r="O8" i="10"/>
  <c r="O8" i="19"/>
  <c r="O13" i="8"/>
  <c r="AR4" i="3"/>
  <c r="AO4" i="3"/>
  <c r="AB4" i="3"/>
  <c r="AF4" i="3"/>
  <c r="X6" i="2" s="1"/>
  <c r="X7" i="2" s="1"/>
  <c r="AT4" i="3"/>
  <c r="AD4" i="3"/>
  <c r="AG4" i="3"/>
  <c r="AM4" i="3"/>
  <c r="AP4" i="3"/>
  <c r="AS4" i="3"/>
  <c r="AA4" i="3"/>
  <c r="AN4" i="3"/>
  <c r="AH4" i="3"/>
  <c r="Z4" i="3"/>
  <c r="O39" i="8"/>
  <c r="O76" i="10"/>
  <c r="O45" i="10"/>
  <c r="O81" i="10"/>
  <c r="O45" i="11"/>
  <c r="O43" i="11"/>
  <c r="O18" i="8"/>
  <c r="O65" i="11"/>
  <c r="O9" i="14"/>
  <c r="O37" i="11"/>
  <c r="O45" i="8"/>
  <c r="O38" i="8"/>
  <c r="O63" i="11"/>
  <c r="O21" i="10"/>
  <c r="O22" i="10"/>
  <c r="O48" i="10"/>
  <c r="O11" i="14"/>
  <c r="O52" i="8"/>
  <c r="O25" i="11"/>
  <c r="O20" i="10"/>
  <c r="O16" i="10"/>
  <c r="O37" i="10"/>
  <c r="O12" i="23"/>
  <c r="O4" i="8"/>
  <c r="O36" i="10"/>
  <c r="O34" i="10"/>
  <c r="O15" i="19"/>
  <c r="O22" i="8"/>
  <c r="O80" i="8"/>
  <c r="O49" i="10"/>
  <c r="O20" i="8"/>
  <c r="O68" i="10"/>
  <c r="O47" i="10"/>
  <c r="O46" i="11"/>
  <c r="O17" i="13"/>
  <c r="O32" i="11"/>
  <c r="O18" i="20"/>
  <c r="O54" i="10"/>
  <c r="O10" i="14"/>
  <c r="O9" i="22"/>
  <c r="O17" i="21"/>
  <c r="O73" i="8"/>
  <c r="O36" i="8"/>
  <c r="O35" i="11"/>
  <c r="O9" i="8"/>
  <c r="O82" i="10"/>
  <c r="O66" i="11"/>
  <c r="O42" i="10"/>
  <c r="O40" i="11"/>
  <c r="O16" i="13"/>
  <c r="O9" i="18"/>
  <c r="O17" i="10"/>
  <c r="O59" i="11"/>
  <c r="O50" i="8"/>
  <c r="O11" i="18"/>
  <c r="O46" i="8"/>
  <c r="O63" i="8"/>
  <c r="O26" i="8"/>
  <c r="O27" i="8"/>
  <c r="O66" i="10"/>
  <c r="O18" i="13"/>
  <c r="O69" i="10"/>
  <c r="O61" i="11"/>
  <c r="O4" i="10"/>
  <c r="O62" i="11"/>
  <c r="O4" i="23"/>
  <c r="O43" i="10"/>
  <c r="O41" i="10"/>
  <c r="O4" i="19"/>
  <c r="O9" i="13"/>
  <c r="O74" i="10"/>
  <c r="O22" i="12"/>
  <c r="O64" i="11"/>
  <c r="O9" i="15"/>
  <c r="O67" i="10"/>
  <c r="O74" i="11"/>
  <c r="O4" i="15"/>
  <c r="O4" i="13"/>
  <c r="O56" i="8"/>
  <c r="O78" i="8"/>
  <c r="O10" i="10"/>
  <c r="O9" i="19"/>
  <c r="O39" i="10"/>
  <c r="O73" i="10"/>
  <c r="O42" i="11"/>
  <c r="O4" i="14"/>
  <c r="O18" i="21"/>
  <c r="O20" i="20"/>
  <c r="O10" i="21"/>
  <c r="O4" i="18"/>
  <c r="O10" i="12"/>
  <c r="O4" i="11"/>
  <c r="O10" i="20"/>
  <c r="O76" i="8"/>
  <c r="O50" i="10"/>
  <c r="O16" i="8"/>
  <c r="O40" i="10"/>
  <c r="O19" i="10"/>
  <c r="O35" i="10"/>
  <c r="O23" i="11"/>
  <c r="O17" i="12"/>
  <c r="O69" i="11"/>
  <c r="O9" i="11"/>
  <c r="O10" i="15"/>
  <c r="O55" i="8"/>
  <c r="O4" i="21"/>
  <c r="O48" i="8"/>
  <c r="O31" i="10"/>
  <c r="O9" i="12"/>
  <c r="O17" i="11"/>
  <c r="O17" i="8"/>
  <c r="O71" i="8"/>
  <c r="O79" i="8"/>
  <c r="O58" i="10"/>
  <c r="O9" i="21"/>
  <c r="O18" i="10"/>
  <c r="O14" i="19"/>
  <c r="O51" i="10"/>
  <c r="O46" i="10"/>
  <c r="O36" i="11"/>
  <c r="O67" i="11"/>
  <c r="O10" i="11"/>
  <c r="O24" i="8"/>
  <c r="O70" i="11"/>
  <c r="O44" i="10"/>
  <c r="O33" i="8"/>
  <c r="O21" i="8"/>
  <c r="O34" i="11"/>
  <c r="O32" i="8"/>
  <c r="O52" i="10"/>
  <c r="O75" i="8"/>
  <c r="O80" i="10"/>
  <c r="O4" i="22"/>
  <c r="O73" i="11"/>
  <c r="O43" i="8"/>
  <c r="O19" i="20"/>
  <c r="O47" i="11"/>
  <c r="O21" i="20"/>
  <c r="O23" i="8"/>
  <c r="O31" i="11"/>
  <c r="O70" i="10"/>
  <c r="O24" i="10"/>
  <c r="O70" i="8"/>
  <c r="O19" i="8"/>
  <c r="O9" i="20"/>
  <c r="O57" i="8"/>
  <c r="O74" i="8"/>
  <c r="O9" i="10"/>
  <c r="O16" i="12"/>
  <c r="O22" i="11"/>
  <c r="O19" i="21"/>
  <c r="O33" i="11"/>
  <c r="O25" i="8"/>
  <c r="O77" i="10"/>
  <c r="O41" i="11"/>
  <c r="O51" i="8"/>
  <c r="O17" i="20"/>
  <c r="O72" i="8"/>
  <c r="O29" i="11"/>
  <c r="O23" i="10"/>
  <c r="O49" i="8"/>
  <c r="O77" i="8"/>
  <c r="O59" i="8"/>
  <c r="O72" i="10"/>
  <c r="O10" i="13"/>
  <c r="O16" i="11"/>
  <c r="O81" i="8"/>
  <c r="O75" i="10"/>
  <c r="O38" i="10"/>
  <c r="O60" i="8"/>
  <c r="O27" i="11"/>
  <c r="O30" i="11"/>
  <c r="O4" i="12"/>
  <c r="O4" i="20"/>
  <c r="O8" i="8"/>
  <c r="O71" i="10"/>
  <c r="O44" i="8"/>
  <c r="O37" i="8"/>
  <c r="O17" i="18"/>
  <c r="O10" i="18"/>
  <c r="O39" i="11"/>
  <c r="O42" i="8"/>
  <c r="O25" i="10"/>
  <c r="O64" i="8"/>
  <c r="O53" i="10"/>
  <c r="O58" i="8"/>
  <c r="O44" i="11"/>
  <c r="O57" i="10"/>
  <c r="O83" i="10"/>
  <c r="O34" i="8"/>
  <c r="O10" i="8"/>
  <c r="O38" i="11"/>
  <c r="O47" i="8"/>
  <c r="O53" i="8"/>
  <c r="O68" i="11"/>
  <c r="O60" i="11"/>
  <c r="O30" i="10"/>
  <c r="O32" i="10"/>
  <c r="AE25" i="3"/>
  <c r="AE15" i="3"/>
  <c r="AE16" i="3"/>
  <c r="AE21" i="3"/>
  <c r="AE24" i="3"/>
  <c r="AE35" i="3"/>
  <c r="AE32" i="3"/>
  <c r="AE34" i="3"/>
  <c r="AE14" i="3"/>
  <c r="AE17" i="3"/>
  <c r="AE31" i="3"/>
  <c r="AE28" i="3"/>
  <c r="AE19" i="3"/>
  <c r="AE27" i="3"/>
  <c r="AE20" i="3"/>
  <c r="AE30" i="3"/>
  <c r="AE29" i="3"/>
  <c r="AE23" i="3"/>
  <c r="P21" i="2"/>
  <c r="AC4" i="3"/>
  <c r="M53" i="11" l="1"/>
  <c r="M55" i="11"/>
  <c r="M52" i="11"/>
  <c r="M51" i="11"/>
  <c r="M67" i="8"/>
  <c r="M66" i="8"/>
  <c r="M65" i="8"/>
  <c r="M54" i="11"/>
  <c r="M50" i="11"/>
  <c r="AH80" i="11"/>
  <c r="M24" i="11"/>
  <c r="AH87" i="8"/>
  <c r="AH90" i="8"/>
  <c r="M41" i="8"/>
  <c r="AU14" i="3"/>
  <c r="AU27" i="3" s="1"/>
  <c r="AU28" i="3" s="1"/>
  <c r="AU29" i="3" s="1"/>
  <c r="AU30" i="3" s="1"/>
  <c r="M40" i="8"/>
  <c r="M54" i="8"/>
  <c r="M19" i="22"/>
  <c r="M24" i="22"/>
  <c r="M28" i="11"/>
  <c r="M26" i="11"/>
  <c r="M84" i="8"/>
  <c r="M84" i="10"/>
  <c r="M62" i="10"/>
  <c r="M61" i="10"/>
  <c r="M63" i="10"/>
  <c r="M33" i="10"/>
  <c r="M35" i="8"/>
  <c r="F21" i="1"/>
  <c r="M56" i="11"/>
  <c r="F20" i="1"/>
  <c r="M59" i="10"/>
  <c r="M60" i="10"/>
  <c r="M8" i="18"/>
  <c r="M14" i="18"/>
  <c r="M8" i="15"/>
  <c r="M13" i="15"/>
  <c r="M8" i="14"/>
  <c r="M14" i="14"/>
  <c r="M13" i="13"/>
  <c r="M8" i="13"/>
  <c r="M13" i="21"/>
  <c r="M8" i="22"/>
  <c r="F22" i="1"/>
  <c r="M13" i="20"/>
  <c r="M8" i="21"/>
  <c r="M13" i="12"/>
  <c r="M8" i="20"/>
  <c r="M13" i="11"/>
  <c r="M8" i="12"/>
  <c r="M13" i="10"/>
  <c r="M8" i="11"/>
  <c r="M8" i="10"/>
  <c r="M8" i="19"/>
  <c r="O29" i="21"/>
  <c r="M13" i="8"/>
  <c r="F17" i="1"/>
  <c r="X5" i="2"/>
  <c r="X4" i="2" s="1"/>
  <c r="B13" i="1"/>
  <c r="P20" i="2"/>
  <c r="F24" i="1" s="1"/>
  <c r="F18" i="1"/>
  <c r="AE5" i="3"/>
  <c r="AE6" i="3"/>
  <c r="O26" i="20"/>
  <c r="O24" i="21"/>
  <c r="O31" i="20"/>
  <c r="O16" i="21"/>
  <c r="O14" i="22"/>
  <c r="M9" i="14"/>
  <c r="M16" i="20"/>
  <c r="M50" i="10"/>
  <c r="M34" i="11"/>
  <c r="M32" i="8"/>
  <c r="M10" i="8"/>
  <c r="M68" i="11"/>
  <c r="M11" i="18"/>
  <c r="M59" i="11"/>
  <c r="M31" i="20"/>
  <c r="M57" i="8"/>
  <c r="M65" i="11"/>
  <c r="M45" i="8"/>
  <c r="M29" i="11"/>
  <c r="G14" i="14"/>
  <c r="L14" i="14" s="1"/>
  <c r="G13" i="21"/>
  <c r="L13" i="21" s="1"/>
  <c r="M60" i="11"/>
  <c r="M48" i="8"/>
  <c r="M24" i="10"/>
  <c r="M9" i="12"/>
  <c r="G13" i="15"/>
  <c r="L13" i="15" s="1"/>
  <c r="M71" i="10"/>
  <c r="M82" i="10"/>
  <c r="M36" i="8"/>
  <c r="M16" i="13"/>
  <c r="M14" i="19"/>
  <c r="M39" i="8"/>
  <c r="M38" i="11"/>
  <c r="G13" i="12"/>
  <c r="L13" i="12" s="1"/>
  <c r="M4" i="19"/>
  <c r="M69" i="10"/>
  <c r="M72" i="8"/>
  <c r="M31" i="10"/>
  <c r="M10" i="10"/>
  <c r="M10" i="13"/>
  <c r="G13" i="20"/>
  <c r="L13" i="20" s="1"/>
  <c r="M17" i="20"/>
  <c r="M25" i="8"/>
  <c r="M18" i="10"/>
  <c r="M40" i="10"/>
  <c r="M21" i="10"/>
  <c r="M10" i="11"/>
  <c r="M16" i="12"/>
  <c r="M17" i="18"/>
  <c r="M24" i="21"/>
  <c r="M22" i="11"/>
  <c r="M39" i="11"/>
  <c r="M77" i="8"/>
  <c r="M22" i="8"/>
  <c r="M22" i="10"/>
  <c r="M74" i="8"/>
  <c r="M9" i="20"/>
  <c r="G13" i="10"/>
  <c r="L13" i="10" s="1"/>
  <c r="M20" i="10"/>
  <c r="M35" i="11"/>
  <c r="M40" i="11"/>
  <c r="M9" i="13"/>
  <c r="M76" i="8"/>
  <c r="M61" i="11"/>
  <c r="M37" i="8"/>
  <c r="M19" i="8"/>
  <c r="M25" i="11"/>
  <c r="M79" i="8"/>
  <c r="M43" i="11"/>
  <c r="M19" i="21"/>
  <c r="M27" i="8"/>
  <c r="M75" i="8"/>
  <c r="M57" i="10"/>
  <c r="M4" i="13"/>
  <c r="M64" i="11"/>
  <c r="M17" i="12"/>
  <c r="M21" i="20"/>
  <c r="M23" i="10"/>
  <c r="M43" i="8"/>
  <c r="M44" i="8"/>
  <c r="M19" i="20"/>
  <c r="M70" i="8"/>
  <c r="G13" i="8"/>
  <c r="L13" i="8" s="1"/>
  <c r="M30" i="10"/>
  <c r="M33" i="11"/>
  <c r="G13" i="13"/>
  <c r="L13" i="13" s="1"/>
  <c r="M50" i="8"/>
  <c r="M42" i="8"/>
  <c r="M48" i="10"/>
  <c r="M31" i="11"/>
  <c r="M9" i="11"/>
  <c r="M70" i="11"/>
  <c r="M10" i="18"/>
  <c r="M41" i="10"/>
  <c r="M12" i="23"/>
  <c r="M42" i="10"/>
  <c r="M46" i="8"/>
  <c r="M47" i="8"/>
  <c r="M51" i="10"/>
  <c r="M4" i="14"/>
  <c r="M10" i="14"/>
  <c r="M81" i="8"/>
  <c r="M55" i="8"/>
  <c r="M16" i="10"/>
  <c r="M35" i="10"/>
  <c r="M74" i="11"/>
  <c r="M17" i="13"/>
  <c r="M4" i="20"/>
  <c r="M80" i="10"/>
  <c r="G14" i="18"/>
  <c r="L14" i="18" s="1"/>
  <c r="M21" i="8"/>
  <c r="M42" i="11"/>
  <c r="AH87" i="10"/>
  <c r="M20" i="8"/>
  <c r="M27" i="11"/>
  <c r="M23" i="8"/>
  <c r="M17" i="21"/>
  <c r="M9" i="22"/>
  <c r="M78" i="8"/>
  <c r="M66" i="10"/>
  <c r="M45" i="11"/>
  <c r="M34" i="10"/>
  <c r="M83" i="10"/>
  <c r="M4" i="18"/>
  <c r="M14" i="22"/>
  <c r="M46" i="10"/>
  <c r="M4" i="8"/>
  <c r="M10" i="15"/>
  <c r="M72" i="10"/>
  <c r="M37" i="10"/>
  <c r="M58" i="10"/>
  <c r="M67" i="11"/>
  <c r="M76" i="10"/>
  <c r="M9" i="19"/>
  <c r="M70" i="10"/>
  <c r="M4" i="11"/>
  <c r="M45" i="10"/>
  <c r="M9" i="21"/>
  <c r="M52" i="10"/>
  <c r="M9" i="18"/>
  <c r="M64" i="8"/>
  <c r="M20" i="20"/>
  <c r="M36" i="11"/>
  <c r="M52" i="8"/>
  <c r="M18" i="13"/>
  <c r="M80" i="8"/>
  <c r="M41" i="11"/>
  <c r="M77" i="10"/>
  <c r="M9" i="10"/>
  <c r="M32" i="10"/>
  <c r="M18" i="21"/>
  <c r="M54" i="10"/>
  <c r="M9" i="8"/>
  <c r="M16" i="21"/>
  <c r="M16" i="8"/>
  <c r="M18" i="20"/>
  <c r="M75" i="10"/>
  <c r="M4" i="22"/>
  <c r="M4" i="21"/>
  <c r="M53" i="8"/>
  <c r="M18" i="8"/>
  <c r="M16" i="11"/>
  <c r="M17" i="8"/>
  <c r="M38" i="10"/>
  <c r="M10" i="21"/>
  <c r="M73" i="8"/>
  <c r="M51" i="8"/>
  <c r="M38" i="8"/>
  <c r="M36" i="10"/>
  <c r="M43" i="10"/>
  <c r="M4" i="15"/>
  <c r="M29" i="21"/>
  <c r="M23" i="11"/>
  <c r="M69" i="11"/>
  <c r="M32" i="11"/>
  <c r="M73" i="10"/>
  <c r="M49" i="10"/>
  <c r="M81" i="10"/>
  <c r="M66" i="11"/>
  <c r="M37" i="11"/>
  <c r="M26" i="20"/>
  <c r="M56" i="8"/>
  <c r="M25" i="10"/>
  <c r="M10" i="20"/>
  <c r="M17" i="11"/>
  <c r="M63" i="8"/>
  <c r="M4" i="23"/>
  <c r="M46" i="11"/>
  <c r="M26" i="8"/>
  <c r="M17" i="10"/>
  <c r="M44" i="11"/>
  <c r="M49" i="8"/>
  <c r="M9" i="15"/>
  <c r="M19" i="10"/>
  <c r="M47" i="10"/>
  <c r="M34" i="8"/>
  <c r="M10" i="12"/>
  <c r="M67" i="10"/>
  <c r="M30" i="11"/>
  <c r="M11" i="14"/>
  <c r="M68" i="10"/>
  <c r="M44" i="10"/>
  <c r="M4" i="12"/>
  <c r="M33" i="8"/>
  <c r="M71" i="8"/>
  <c r="M58" i="8"/>
  <c r="M4" i="10"/>
  <c r="M24" i="8"/>
  <c r="M63" i="11"/>
  <c r="M47" i="11"/>
  <c r="M8" i="8"/>
  <c r="M74" i="10"/>
  <c r="M22" i="12"/>
  <c r="G13" i="11"/>
  <c r="L13" i="11" s="1"/>
  <c r="M62" i="11"/>
  <c r="M60" i="8"/>
  <c r="M15" i="19"/>
  <c r="M73" i="11"/>
  <c r="M59" i="8"/>
  <c r="M39" i="10"/>
  <c r="M53" i="10"/>
  <c r="G4" i="2"/>
  <c r="G5" i="2" s="1"/>
  <c r="G6" i="2" s="1"/>
  <c r="G7" i="2" s="1"/>
  <c r="G8" i="2" s="1"/>
  <c r="G9" i="2" s="1"/>
  <c r="G10" i="2" s="1"/>
  <c r="G11" i="2" s="1"/>
  <c r="G12" i="2" s="1"/>
  <c r="G13" i="2" s="1"/>
  <c r="G14" i="2" s="1"/>
  <c r="G15" i="2" s="1"/>
  <c r="G16" i="2" s="1"/>
  <c r="G17" i="2" s="1"/>
  <c r="G18" i="2" s="1"/>
  <c r="G19" i="2" s="1"/>
  <c r="G20" i="2" s="1"/>
  <c r="G21" i="2" s="1"/>
  <c r="G22" i="2" s="1"/>
  <c r="G23" i="2" s="1"/>
  <c r="G24" i="2" s="1"/>
  <c r="G25" i="2" s="1"/>
  <c r="G26" i="2" s="1"/>
  <c r="G27" i="2" s="1"/>
  <c r="G28" i="2" s="1"/>
  <c r="G29" i="2" s="1"/>
  <c r="G30" i="2" s="1"/>
  <c r="G31" i="2" s="1"/>
  <c r="O16" i="20"/>
  <c r="AU15" i="3" l="1"/>
  <c r="AU31" i="3"/>
  <c r="AU32" i="3" s="1"/>
  <c r="AU34" i="3" s="1"/>
  <c r="Y5" i="2"/>
  <c r="Y6" i="2"/>
  <c r="AE4" i="3"/>
  <c r="P24" i="2" s="1"/>
  <c r="F16" i="1" s="1"/>
  <c r="V9" i="2"/>
  <c r="W8" i="2" s="1"/>
  <c r="V8" i="2"/>
  <c r="W7" i="2" s="1"/>
  <c r="V10" i="2"/>
  <c r="W9" i="2" s="1"/>
  <c r="V13" i="2"/>
  <c r="W12" i="2" s="1"/>
  <c r="V7" i="2"/>
  <c r="V11" i="2"/>
  <c r="W10" i="2" s="1"/>
  <c r="V29" i="2"/>
  <c r="W14" i="2" s="1"/>
  <c r="V14" i="2"/>
  <c r="W13" i="2" s="1"/>
  <c r="V12" i="2"/>
  <c r="W11" i="2" s="1"/>
  <c r="V6" i="2"/>
  <c r="W5" i="2" s="1"/>
  <c r="AU6" i="3" l="1"/>
  <c r="AU5" i="3"/>
  <c r="Y4" i="2"/>
  <c r="B14" i="1" s="1"/>
  <c r="W6" i="2"/>
  <c r="P15" i="2" s="1"/>
  <c r="P14" i="2"/>
  <c r="U5" i="2"/>
  <c r="AO21" i="11" l="1"/>
  <c r="AO49" i="11"/>
  <c r="AO50" i="11" s="1"/>
  <c r="AH55" i="8"/>
  <c r="AH56" i="8" s="1"/>
  <c r="AH57" i="8" s="1"/>
  <c r="AH58" i="8" s="1"/>
  <c r="AH59" i="8" s="1"/>
  <c r="AH60" i="8" s="1"/>
  <c r="AH42" i="11"/>
  <c r="AH43" i="11" s="1"/>
  <c r="AH44" i="11" s="1"/>
  <c r="AH45" i="11" s="1"/>
  <c r="AH46" i="11" s="1"/>
  <c r="AH47" i="11" s="1"/>
  <c r="AH49" i="10"/>
  <c r="AH50" i="10" s="1"/>
  <c r="AH51" i="10" s="1"/>
  <c r="AH52" i="10" s="1"/>
  <c r="AH65" i="8"/>
  <c r="AH61" i="10"/>
  <c r="AH51" i="11"/>
  <c r="D55" i="11"/>
  <c r="AO29" i="10"/>
  <c r="AO31" i="8"/>
  <c r="D53" i="11"/>
  <c r="B53" i="11" s="1"/>
  <c r="D52" i="11"/>
  <c r="B52" i="11" s="1"/>
  <c r="D51" i="11"/>
  <c r="D66" i="8"/>
  <c r="D67" i="8"/>
  <c r="D65" i="8"/>
  <c r="D54" i="11"/>
  <c r="D50" i="11"/>
  <c r="AH24" i="11"/>
  <c r="AO18" i="22"/>
  <c r="AO19" i="22" s="1"/>
  <c r="D24" i="11"/>
  <c r="AU4" i="3"/>
  <c r="F23" i="1" s="1"/>
  <c r="AO23" i="22"/>
  <c r="AO24" i="22" s="1"/>
  <c r="AO58" i="11"/>
  <c r="AO65" i="10"/>
  <c r="AO69" i="8"/>
  <c r="D80" i="11"/>
  <c r="C80" i="11" s="1"/>
  <c r="D87" i="8"/>
  <c r="C87" i="8" s="1"/>
  <c r="D90" i="8"/>
  <c r="D41" i="8"/>
  <c r="AH40" i="8"/>
  <c r="AH41" i="8"/>
  <c r="D54" i="8"/>
  <c r="B54" i="8" s="1"/>
  <c r="D40" i="8"/>
  <c r="B40" i="8" s="1"/>
  <c r="D24" i="22"/>
  <c r="C24" i="22" s="1"/>
  <c r="O37" i="2"/>
  <c r="D19" i="22"/>
  <c r="D28" i="11"/>
  <c r="B28" i="11" s="1"/>
  <c r="D26" i="11"/>
  <c r="B26" i="11" s="1"/>
  <c r="D84" i="10"/>
  <c r="B84" i="10" s="1"/>
  <c r="AH84" i="8"/>
  <c r="AH84" i="10"/>
  <c r="D84" i="8"/>
  <c r="D62" i="10"/>
  <c r="D61" i="10"/>
  <c r="D63" i="10"/>
  <c r="D33" i="10"/>
  <c r="D35" i="8"/>
  <c r="D56" i="11"/>
  <c r="C56" i="11" s="1"/>
  <c r="D59" i="10"/>
  <c r="B59" i="10" s="1"/>
  <c r="D60" i="10"/>
  <c r="AQ27" i="3"/>
  <c r="AQ28" i="3" s="1"/>
  <c r="AQ29" i="3" s="1"/>
  <c r="AQ30" i="3" s="1"/>
  <c r="AH23" i="11"/>
  <c r="AH73" i="10"/>
  <c r="AH29" i="11"/>
  <c r="AH33" i="8"/>
  <c r="AH67" i="11"/>
  <c r="AH77" i="8"/>
  <c r="D66" i="11"/>
  <c r="D10" i="13"/>
  <c r="D69" i="11"/>
  <c r="D16" i="20"/>
  <c r="D14" i="14"/>
  <c r="D60" i="8"/>
  <c r="D50" i="8"/>
  <c r="AH43" i="8"/>
  <c r="AH76" i="10"/>
  <c r="AI32" i="3"/>
  <c r="AH77" i="10"/>
  <c r="AH8" i="22"/>
  <c r="D73" i="11"/>
  <c r="D35" i="10"/>
  <c r="D87" i="10"/>
  <c r="D13" i="13"/>
  <c r="D9" i="13"/>
  <c r="D9" i="19"/>
  <c r="D26" i="8"/>
  <c r="AH36" i="10"/>
  <c r="AH79" i="8"/>
  <c r="AH42" i="8"/>
  <c r="AH72" i="10"/>
  <c r="D70" i="8"/>
  <c r="D63" i="8"/>
  <c r="D16" i="21"/>
  <c r="D48" i="10"/>
  <c r="D26" i="20"/>
  <c r="AI30" i="3"/>
  <c r="AI31" i="3"/>
  <c r="AH38" i="10"/>
  <c r="AH80" i="8"/>
  <c r="D19" i="20"/>
  <c r="D38" i="10"/>
  <c r="D83" i="10"/>
  <c r="D14" i="18"/>
  <c r="AH81" i="8"/>
  <c r="AI27" i="3"/>
  <c r="AH39" i="10"/>
  <c r="AH38" i="8"/>
  <c r="AH32" i="11"/>
  <c r="AI28" i="3"/>
  <c r="D14" i="19"/>
  <c r="D54" i="10"/>
  <c r="D42" i="11"/>
  <c r="D35" i="11"/>
  <c r="D17" i="21"/>
  <c r="D9" i="15"/>
  <c r="D25" i="11"/>
  <c r="D18" i="10"/>
  <c r="D13" i="20"/>
  <c r="D16" i="12"/>
  <c r="D33" i="11"/>
  <c r="D36" i="10"/>
  <c r="D67" i="11"/>
  <c r="D51" i="10"/>
  <c r="D74" i="10"/>
  <c r="D36" i="11"/>
  <c r="D72" i="8"/>
  <c r="D10" i="18"/>
  <c r="D52" i="10"/>
  <c r="D62" i="11"/>
  <c r="D47" i="10"/>
  <c r="D56" i="8"/>
  <c r="AH76" i="8"/>
  <c r="D13" i="10"/>
  <c r="D69" i="10"/>
  <c r="D10" i="14"/>
  <c r="D10" i="20"/>
  <c r="D37" i="10"/>
  <c r="D21" i="8"/>
  <c r="D11" i="14"/>
  <c r="D18" i="13"/>
  <c r="D72" i="10"/>
  <c r="D9" i="14"/>
  <c r="D22" i="11"/>
  <c r="D64" i="11"/>
  <c r="D22" i="10"/>
  <c r="D78" i="8"/>
  <c r="D44" i="8"/>
  <c r="D38" i="11"/>
  <c r="D74" i="8"/>
  <c r="D21" i="10"/>
  <c r="AH9" i="22"/>
  <c r="D68" i="11"/>
  <c r="D53" i="10"/>
  <c r="D24" i="10"/>
  <c r="D44" i="10"/>
  <c r="D32" i="10"/>
  <c r="D10" i="10"/>
  <c r="D47" i="8"/>
  <c r="D36" i="8"/>
  <c r="D63" i="11"/>
  <c r="D34" i="11"/>
  <c r="D9" i="20"/>
  <c r="D52" i="8"/>
  <c r="D45" i="10"/>
  <c r="D77" i="8"/>
  <c r="AH31" i="11"/>
  <c r="AH78" i="8"/>
  <c r="D59" i="8"/>
  <c r="D79" i="8"/>
  <c r="D70" i="11"/>
  <c r="D18" i="21"/>
  <c r="D17" i="20"/>
  <c r="D27" i="11"/>
  <c r="D29" i="11"/>
  <c r="D55" i="8"/>
  <c r="D9" i="11"/>
  <c r="D21" i="20"/>
  <c r="D76" i="10"/>
  <c r="AH31" i="10"/>
  <c r="AH66" i="11"/>
  <c r="D60" i="11"/>
  <c r="D46" i="10"/>
  <c r="D31" i="20"/>
  <c r="D9" i="12"/>
  <c r="D80" i="10"/>
  <c r="D10" i="21"/>
  <c r="D20" i="20"/>
  <c r="D9" i="22"/>
  <c r="D46" i="11"/>
  <c r="D42" i="8"/>
  <c r="D16" i="13"/>
  <c r="D66" i="10"/>
  <c r="D37" i="8"/>
  <c r="D46" i="8"/>
  <c r="D42" i="10"/>
  <c r="D58" i="10"/>
  <c r="AH74" i="10"/>
  <c r="D13" i="15"/>
  <c r="D19" i="21"/>
  <c r="D11" i="18"/>
  <c r="D73" i="8"/>
  <c r="D25" i="8"/>
  <c r="D45" i="11"/>
  <c r="D31" i="10"/>
  <c r="D34" i="8"/>
  <c r="D65" i="11"/>
  <c r="D25" i="10"/>
  <c r="D37" i="11"/>
  <c r="D23" i="8"/>
  <c r="D74" i="11"/>
  <c r="D39" i="10"/>
  <c r="D57" i="10"/>
  <c r="D33" i="8"/>
  <c r="D77" i="11"/>
  <c r="D45" i="8"/>
  <c r="AH75" i="10"/>
  <c r="D61" i="11"/>
  <c r="D9" i="10"/>
  <c r="D39" i="8"/>
  <c r="D70" i="10"/>
  <c r="D10" i="15"/>
  <c r="D13" i="8"/>
  <c r="D76" i="8"/>
  <c r="D16" i="10"/>
  <c r="D24" i="8"/>
  <c r="D64" i="8"/>
  <c r="D30" i="10"/>
  <c r="D81" i="8"/>
  <c r="D10" i="12"/>
  <c r="D50" i="10"/>
  <c r="D82" i="10"/>
  <c r="D77" i="10"/>
  <c r="D23" i="10"/>
  <c r="D58" i="8"/>
  <c r="D22" i="12"/>
  <c r="D9" i="21"/>
  <c r="D14" i="22"/>
  <c r="D48" i="8"/>
  <c r="D43" i="11"/>
  <c r="D49" i="10"/>
  <c r="D17" i="11"/>
  <c r="D17" i="10"/>
  <c r="D30" i="11"/>
  <c r="D67" i="10"/>
  <c r="D49" i="8"/>
  <c r="D34" i="10"/>
  <c r="D29" i="21"/>
  <c r="D18" i="20"/>
  <c r="D17" i="12"/>
  <c r="D23" i="11"/>
  <c r="D16" i="8"/>
  <c r="D32" i="11"/>
  <c r="D13" i="11"/>
  <c r="D41" i="11"/>
  <c r="D41" i="10"/>
  <c r="D38" i="8"/>
  <c r="D31" i="11"/>
  <c r="D71" i="10"/>
  <c r="D80" i="8"/>
  <c r="D15" i="19"/>
  <c r="D9" i="18"/>
  <c r="D40" i="10"/>
  <c r="D59" i="11"/>
  <c r="D10" i="8"/>
  <c r="D10" i="11"/>
  <c r="D75" i="8"/>
  <c r="D47" i="11"/>
  <c r="D51" i="8"/>
  <c r="D16" i="11"/>
  <c r="D19" i="10"/>
  <c r="D24" i="21"/>
  <c r="D22" i="8"/>
  <c r="D81" i="10"/>
  <c r="D57" i="8"/>
  <c r="D71" i="8"/>
  <c r="D13" i="21"/>
  <c r="D18" i="8"/>
  <c r="AH65" i="11"/>
  <c r="D17" i="13"/>
  <c r="D27" i="8"/>
  <c r="D44" i="11"/>
  <c r="D39" i="11"/>
  <c r="D13" i="12"/>
  <c r="D43" i="10"/>
  <c r="D19" i="8"/>
  <c r="D75" i="10"/>
  <c r="D43" i="8"/>
  <c r="D32" i="8"/>
  <c r="D40" i="11"/>
  <c r="D9" i="8"/>
  <c r="D17" i="18"/>
  <c r="D53" i="8"/>
  <c r="D17" i="8"/>
  <c r="D68" i="10"/>
  <c r="D20" i="8"/>
  <c r="AI29" i="3"/>
  <c r="D73" i="10"/>
  <c r="D20" i="10"/>
  <c r="D8" i="11"/>
  <c r="D8" i="19"/>
  <c r="D8" i="10"/>
  <c r="D8" i="12"/>
  <c r="D8" i="20"/>
  <c r="D8" i="21"/>
  <c r="D8" i="22"/>
  <c r="D12" i="23"/>
  <c r="D8" i="18"/>
  <c r="D8" i="15"/>
  <c r="D8" i="14"/>
  <c r="D8" i="13"/>
  <c r="D8" i="8"/>
  <c r="U6" i="2"/>
  <c r="U7" i="2" s="1"/>
  <c r="U8" i="2" s="1"/>
  <c r="U9" i="2" s="1"/>
  <c r="U10" i="2" s="1"/>
  <c r="U11" i="2" s="1"/>
  <c r="U12" i="2" s="1"/>
  <c r="U13" i="2" s="1"/>
  <c r="U14" i="2" s="1"/>
  <c r="U15" i="2" s="1"/>
  <c r="U16" i="2" s="1"/>
  <c r="U17" i="2" s="1"/>
  <c r="U18" i="2" s="1"/>
  <c r="U19" i="2" s="1"/>
  <c r="U20" i="2" s="1"/>
  <c r="U21" i="2" s="1"/>
  <c r="U22" i="2" s="1"/>
  <c r="U23" i="2" s="1"/>
  <c r="U24" i="2" s="1"/>
  <c r="U25" i="2" s="1"/>
  <c r="U26" i="2" s="1"/>
  <c r="U27" i="2" s="1"/>
  <c r="U28" i="2" s="1"/>
  <c r="U29" i="2" s="1"/>
  <c r="AO52" i="11" l="1"/>
  <c r="AO54" i="11"/>
  <c r="AO51" i="11"/>
  <c r="AO55" i="11"/>
  <c r="AO53" i="11"/>
  <c r="AO56" i="11"/>
  <c r="C55" i="11"/>
  <c r="B55" i="11"/>
  <c r="C53" i="11"/>
  <c r="C52" i="11"/>
  <c r="C51" i="11"/>
  <c r="B51" i="11"/>
  <c r="B66" i="8"/>
  <c r="C66" i="8"/>
  <c r="B65" i="8"/>
  <c r="C65" i="8"/>
  <c r="AO67" i="8"/>
  <c r="AO66" i="8"/>
  <c r="AO65" i="8"/>
  <c r="B67" i="8"/>
  <c r="C67" i="8"/>
  <c r="AO24" i="11"/>
  <c r="C50" i="11"/>
  <c r="B50" i="11"/>
  <c r="B54" i="11"/>
  <c r="C54" i="11"/>
  <c r="C24" i="11"/>
  <c r="B24" i="11"/>
  <c r="AO60" i="11"/>
  <c r="AO62" i="11"/>
  <c r="AO66" i="11"/>
  <c r="AO73" i="11"/>
  <c r="AO59" i="11"/>
  <c r="AO61" i="11"/>
  <c r="AO65" i="11"/>
  <c r="AO67" i="11"/>
  <c r="AO72" i="11"/>
  <c r="AO74" i="11"/>
  <c r="AO25" i="11"/>
  <c r="AO27" i="11"/>
  <c r="AO33" i="11"/>
  <c r="AO37" i="11"/>
  <c r="AO43" i="11"/>
  <c r="AO23" i="11"/>
  <c r="AO26" i="11"/>
  <c r="AO28" i="11"/>
  <c r="AO36" i="11"/>
  <c r="AO42" i="11"/>
  <c r="AO44" i="11"/>
  <c r="AO43" i="10"/>
  <c r="AO32" i="10"/>
  <c r="AO40" i="10"/>
  <c r="AO44" i="10"/>
  <c r="AO48" i="10"/>
  <c r="AO52" i="10"/>
  <c r="AO59" i="10"/>
  <c r="AO31" i="10"/>
  <c r="AO33" i="10"/>
  <c r="AO35" i="10"/>
  <c r="AO37" i="10"/>
  <c r="AO51" i="10"/>
  <c r="AO56" i="10"/>
  <c r="AO60" i="10"/>
  <c r="AO34" i="10"/>
  <c r="AO36" i="10"/>
  <c r="AO42" i="10"/>
  <c r="AO50" i="10"/>
  <c r="AO57" i="10"/>
  <c r="AO61" i="10"/>
  <c r="AO63" i="10"/>
  <c r="AO49" i="10"/>
  <c r="AO58" i="10"/>
  <c r="AO62" i="10"/>
  <c r="AO67" i="10"/>
  <c r="AO69" i="10"/>
  <c r="AO71" i="10"/>
  <c r="AO73" i="10"/>
  <c r="AO75" i="10"/>
  <c r="AO77" i="10"/>
  <c r="AO84" i="10"/>
  <c r="AO70" i="10"/>
  <c r="AO76" i="10"/>
  <c r="AO66" i="10"/>
  <c r="AO68" i="10"/>
  <c r="AO72" i="10"/>
  <c r="AO74" i="10"/>
  <c r="AO79" i="10"/>
  <c r="AO84" i="8"/>
  <c r="AO78" i="8"/>
  <c r="AO70" i="8"/>
  <c r="AO74" i="8"/>
  <c r="AO80" i="8"/>
  <c r="AO71" i="8"/>
  <c r="AO73" i="8"/>
  <c r="AO75" i="8"/>
  <c r="AO77" i="8"/>
  <c r="AO79" i="8"/>
  <c r="AO81" i="8"/>
  <c r="AO72" i="8"/>
  <c r="AO76" i="8"/>
  <c r="AO83" i="8"/>
  <c r="AO32" i="8"/>
  <c r="AO34" i="8"/>
  <c r="AO36" i="8"/>
  <c r="AO38" i="8"/>
  <c r="AO40" i="8"/>
  <c r="AO42" i="8"/>
  <c r="AO44" i="8"/>
  <c r="AO46" i="8"/>
  <c r="AO48" i="8"/>
  <c r="AO50" i="8"/>
  <c r="AO52" i="8"/>
  <c r="AO54" i="8"/>
  <c r="AO56" i="8"/>
  <c r="AO58" i="8"/>
  <c r="AO60" i="8"/>
  <c r="AO33" i="8"/>
  <c r="AO37" i="8"/>
  <c r="AO41" i="8"/>
  <c r="AO47" i="8"/>
  <c r="AO49" i="8"/>
  <c r="AO55" i="8"/>
  <c r="AO62" i="8"/>
  <c r="AO35" i="8"/>
  <c r="AO39" i="8"/>
  <c r="AO45" i="8"/>
  <c r="AO51" i="8"/>
  <c r="AO59" i="8"/>
  <c r="AO43" i="8"/>
  <c r="AO53" i="8"/>
  <c r="AO57" i="8"/>
  <c r="B80" i="11"/>
  <c r="B87" i="8"/>
  <c r="C90" i="8"/>
  <c r="B90" i="8"/>
  <c r="B41" i="8"/>
  <c r="C41" i="8"/>
  <c r="C54" i="8"/>
  <c r="C40" i="8"/>
  <c r="B24" i="22"/>
  <c r="B19" i="22"/>
  <c r="C19" i="22"/>
  <c r="C28" i="11"/>
  <c r="C26" i="11"/>
  <c r="C84" i="10"/>
  <c r="B84" i="8"/>
  <c r="C84" i="8"/>
  <c r="C63" i="10"/>
  <c r="B63" i="10"/>
  <c r="C61" i="10"/>
  <c r="B61" i="10"/>
  <c r="C62" i="10"/>
  <c r="B62" i="10"/>
  <c r="C33" i="10"/>
  <c r="B33" i="10"/>
  <c r="C35" i="8"/>
  <c r="B35" i="8"/>
  <c r="B56" i="11"/>
  <c r="C59" i="10"/>
  <c r="C60" i="10"/>
  <c r="B60" i="10"/>
  <c r="AI5" i="3"/>
  <c r="AI6" i="3"/>
  <c r="AQ31" i="3"/>
  <c r="AQ32" i="3" s="1"/>
  <c r="AQ34" i="3" s="1"/>
  <c r="U4" i="2"/>
  <c r="B8" i="11"/>
  <c r="C8" i="11"/>
  <c r="B71" i="8"/>
  <c r="C71" i="8"/>
  <c r="B49" i="8"/>
  <c r="C49" i="8"/>
  <c r="C58" i="10"/>
  <c r="B58" i="10"/>
  <c r="C27" i="11"/>
  <c r="B27" i="11"/>
  <c r="B10" i="10"/>
  <c r="C10" i="10"/>
  <c r="B21" i="10"/>
  <c r="C21" i="10"/>
  <c r="C9" i="14"/>
  <c r="B9" i="14"/>
  <c r="B69" i="10"/>
  <c r="C69" i="10"/>
  <c r="B52" i="10"/>
  <c r="C52" i="10"/>
  <c r="C33" i="11"/>
  <c r="B33" i="11"/>
  <c r="C17" i="21"/>
  <c r="B17" i="21"/>
  <c r="B16" i="21"/>
  <c r="C16" i="21"/>
  <c r="C73" i="11"/>
  <c r="B73" i="11"/>
  <c r="B50" i="8"/>
  <c r="C50" i="8"/>
  <c r="C12" i="23"/>
  <c r="C6" i="23" s="1"/>
  <c r="B12" i="23"/>
  <c r="B5" i="23" s="1"/>
  <c r="C20" i="10"/>
  <c r="B20" i="10"/>
  <c r="B9" i="8"/>
  <c r="C9" i="8"/>
  <c r="C39" i="11"/>
  <c r="B39" i="11"/>
  <c r="C57" i="8"/>
  <c r="B57" i="8"/>
  <c r="C75" i="8"/>
  <c r="B75" i="8"/>
  <c r="C80" i="8"/>
  <c r="B80" i="8"/>
  <c r="C16" i="8"/>
  <c r="B16" i="8"/>
  <c r="C67" i="10"/>
  <c r="B67" i="10"/>
  <c r="C10" i="12"/>
  <c r="B10" i="12"/>
  <c r="B23" i="8"/>
  <c r="C23" i="8"/>
  <c r="B45" i="11"/>
  <c r="C45" i="11"/>
  <c r="C42" i="10"/>
  <c r="B42" i="10"/>
  <c r="C20" i="20"/>
  <c r="B20" i="20"/>
  <c r="C17" i="20"/>
  <c r="B17" i="20"/>
  <c r="C45" i="10"/>
  <c r="B45" i="10"/>
  <c r="C32" i="10"/>
  <c r="B32" i="10"/>
  <c r="C74" i="8"/>
  <c r="B74" i="8"/>
  <c r="C72" i="10"/>
  <c r="B72" i="10"/>
  <c r="C13" i="10"/>
  <c r="B13" i="10"/>
  <c r="B10" i="18"/>
  <c r="C10" i="18"/>
  <c r="B35" i="11"/>
  <c r="C35" i="11"/>
  <c r="C63" i="8"/>
  <c r="B63" i="8"/>
  <c r="C26" i="8"/>
  <c r="B26" i="8"/>
  <c r="C60" i="8"/>
  <c r="B60" i="8"/>
  <c r="C17" i="18"/>
  <c r="B17" i="18"/>
  <c r="C14" i="22"/>
  <c r="B14" i="22"/>
  <c r="C9" i="22"/>
  <c r="B9" i="22"/>
  <c r="C77" i="8"/>
  <c r="B77" i="8"/>
  <c r="C8" i="22"/>
  <c r="B8" i="22"/>
  <c r="B73" i="10"/>
  <c r="C73" i="10"/>
  <c r="B40" i="11"/>
  <c r="C40" i="11"/>
  <c r="B44" i="11"/>
  <c r="C44" i="11"/>
  <c r="C81" i="10"/>
  <c r="B81" i="10"/>
  <c r="B10" i="11"/>
  <c r="C10" i="11"/>
  <c r="C71" i="10"/>
  <c r="B71" i="10"/>
  <c r="B23" i="11"/>
  <c r="C23" i="11"/>
  <c r="C30" i="11"/>
  <c r="B30" i="11"/>
  <c r="B9" i="21"/>
  <c r="C9" i="21"/>
  <c r="B81" i="8"/>
  <c r="C81" i="8"/>
  <c r="C13" i="8"/>
  <c r="B13" i="8"/>
  <c r="B45" i="8"/>
  <c r="C45" i="8"/>
  <c r="C37" i="11"/>
  <c r="B37" i="11"/>
  <c r="C25" i="8"/>
  <c r="B25" i="8"/>
  <c r="C46" i="8"/>
  <c r="B46" i="8"/>
  <c r="C10" i="21"/>
  <c r="B10" i="21"/>
  <c r="B18" i="21"/>
  <c r="C18" i="21"/>
  <c r="C52" i="8"/>
  <c r="B52" i="8"/>
  <c r="B44" i="10"/>
  <c r="C44" i="10"/>
  <c r="C38" i="11"/>
  <c r="B38" i="11"/>
  <c r="B18" i="13"/>
  <c r="C18" i="13"/>
  <c r="C72" i="8"/>
  <c r="B72" i="8"/>
  <c r="C42" i="11"/>
  <c r="B42" i="11"/>
  <c r="B70" i="8"/>
  <c r="C70" i="8"/>
  <c r="C9" i="19"/>
  <c r="B9" i="19"/>
  <c r="C14" i="14"/>
  <c r="B14" i="14"/>
  <c r="B13" i="12"/>
  <c r="C13" i="12"/>
  <c r="C32" i="11"/>
  <c r="B32" i="11"/>
  <c r="C50" i="10"/>
  <c r="B50" i="10"/>
  <c r="C8" i="21"/>
  <c r="B8" i="21"/>
  <c r="B27" i="8"/>
  <c r="C27" i="8"/>
  <c r="B31" i="11"/>
  <c r="C31" i="11"/>
  <c r="C30" i="10"/>
  <c r="B30" i="10"/>
  <c r="C77" i="11"/>
  <c r="B77" i="11"/>
  <c r="B80" i="10"/>
  <c r="C80" i="10"/>
  <c r="B9" i="20"/>
  <c r="C9" i="20"/>
  <c r="B11" i="14"/>
  <c r="C11" i="14"/>
  <c r="B36" i="11"/>
  <c r="C36" i="11"/>
  <c r="C54" i="10"/>
  <c r="B54" i="10"/>
  <c r="B9" i="13"/>
  <c r="C9" i="13"/>
  <c r="C16" i="20"/>
  <c r="B16" i="20"/>
  <c r="C8" i="8"/>
  <c r="AS13" i="8" s="1"/>
  <c r="B8" i="8"/>
  <c r="C8" i="20"/>
  <c r="B8" i="20"/>
  <c r="C43" i="8"/>
  <c r="B43" i="8"/>
  <c r="C17" i="13"/>
  <c r="B17" i="13"/>
  <c r="C24" i="21"/>
  <c r="B24" i="21"/>
  <c r="C59" i="11"/>
  <c r="B59" i="11"/>
  <c r="C38" i="8"/>
  <c r="B38" i="8"/>
  <c r="C17" i="12"/>
  <c r="B17" i="12"/>
  <c r="C58" i="8"/>
  <c r="B58" i="8"/>
  <c r="C70" i="10"/>
  <c r="B70" i="10"/>
  <c r="B33" i="8"/>
  <c r="C33" i="8"/>
  <c r="C11" i="18"/>
  <c r="B11" i="18"/>
  <c r="B66" i="10"/>
  <c r="C66" i="10"/>
  <c r="C9" i="12"/>
  <c r="B9" i="12"/>
  <c r="C21" i="20"/>
  <c r="B21" i="20"/>
  <c r="B79" i="8"/>
  <c r="C79" i="8"/>
  <c r="B34" i="11"/>
  <c r="C34" i="11"/>
  <c r="B53" i="10"/>
  <c r="C53" i="10"/>
  <c r="B78" i="8"/>
  <c r="C78" i="8"/>
  <c r="B21" i="8"/>
  <c r="C21" i="8"/>
  <c r="B56" i="8"/>
  <c r="C56" i="8"/>
  <c r="C74" i="10"/>
  <c r="B74" i="10"/>
  <c r="B13" i="20"/>
  <c r="C13" i="20"/>
  <c r="C14" i="19"/>
  <c r="B14" i="19"/>
  <c r="B14" i="18"/>
  <c r="C14" i="18"/>
  <c r="B13" i="13"/>
  <c r="C13" i="13"/>
  <c r="C69" i="11"/>
  <c r="B69" i="11"/>
  <c r="C47" i="11"/>
  <c r="B47" i="11"/>
  <c r="C76" i="8"/>
  <c r="B76" i="8"/>
  <c r="B32" i="8"/>
  <c r="C32" i="8"/>
  <c r="B22" i="12"/>
  <c r="C22" i="12"/>
  <c r="C37" i="8"/>
  <c r="B37" i="8"/>
  <c r="C44" i="8"/>
  <c r="B44" i="8"/>
  <c r="C8" i="13"/>
  <c r="B8" i="13"/>
  <c r="C75" i="10"/>
  <c r="B75" i="10"/>
  <c r="C40" i="10"/>
  <c r="B40" i="10"/>
  <c r="C49" i="10"/>
  <c r="B49" i="10"/>
  <c r="B64" i="8"/>
  <c r="C64" i="8"/>
  <c r="B57" i="10"/>
  <c r="C57" i="10"/>
  <c r="C65" i="11"/>
  <c r="B65" i="11"/>
  <c r="B19" i="21"/>
  <c r="C19" i="21"/>
  <c r="C16" i="13"/>
  <c r="B16" i="13"/>
  <c r="C31" i="20"/>
  <c r="B31" i="20"/>
  <c r="B9" i="11"/>
  <c r="C9" i="11"/>
  <c r="B59" i="8"/>
  <c r="C59" i="8"/>
  <c r="C63" i="11"/>
  <c r="B63" i="11"/>
  <c r="C68" i="11"/>
  <c r="B68" i="11"/>
  <c r="B22" i="10"/>
  <c r="C22" i="10"/>
  <c r="B37" i="10"/>
  <c r="C37" i="10"/>
  <c r="C47" i="10"/>
  <c r="B47" i="10"/>
  <c r="C51" i="10"/>
  <c r="B51" i="10"/>
  <c r="C18" i="10"/>
  <c r="B18" i="10"/>
  <c r="C83" i="10"/>
  <c r="B83" i="10"/>
  <c r="C10" i="13"/>
  <c r="B10" i="13"/>
  <c r="B10" i="8"/>
  <c r="C10" i="8"/>
  <c r="B10" i="15"/>
  <c r="C10" i="15"/>
  <c r="C73" i="8"/>
  <c r="B73" i="8"/>
  <c r="C76" i="10"/>
  <c r="B76" i="10"/>
  <c r="C24" i="10"/>
  <c r="B24" i="10"/>
  <c r="C16" i="12"/>
  <c r="B16" i="12"/>
  <c r="C8" i="12"/>
  <c r="B8" i="12"/>
  <c r="C68" i="10"/>
  <c r="B68" i="10"/>
  <c r="C19" i="10"/>
  <c r="B19" i="10"/>
  <c r="B41" i="10"/>
  <c r="C41" i="10"/>
  <c r="B18" i="20"/>
  <c r="C18" i="20"/>
  <c r="C23" i="10"/>
  <c r="B23" i="10"/>
  <c r="C39" i="8"/>
  <c r="B39" i="8"/>
  <c r="C8" i="14"/>
  <c r="B8" i="14"/>
  <c r="C8" i="10"/>
  <c r="B8" i="10"/>
  <c r="C17" i="8"/>
  <c r="B17" i="8"/>
  <c r="B18" i="8"/>
  <c r="C18" i="8"/>
  <c r="B16" i="11"/>
  <c r="L17" i="11" s="1"/>
  <c r="B17" i="11" s="1"/>
  <c r="C16" i="11"/>
  <c r="N17" i="11" s="1"/>
  <c r="C17" i="11" s="1"/>
  <c r="B9" i="18"/>
  <c r="C9" i="18"/>
  <c r="B41" i="11"/>
  <c r="C41" i="11"/>
  <c r="B29" i="21"/>
  <c r="C29" i="21"/>
  <c r="B43" i="11"/>
  <c r="C43" i="11"/>
  <c r="C77" i="10"/>
  <c r="B77" i="10"/>
  <c r="C24" i="8"/>
  <c r="B24" i="8"/>
  <c r="C9" i="10"/>
  <c r="B9" i="10"/>
  <c r="B39" i="10"/>
  <c r="C39" i="10"/>
  <c r="B13" i="15"/>
  <c r="C13" i="15"/>
  <c r="B42" i="8"/>
  <c r="C42" i="8"/>
  <c r="B46" i="10"/>
  <c r="C46" i="10"/>
  <c r="C55" i="8"/>
  <c r="B55" i="8"/>
  <c r="C36" i="8"/>
  <c r="B36" i="8"/>
  <c r="B64" i="11"/>
  <c r="C64" i="11"/>
  <c r="B10" i="20"/>
  <c r="C10" i="20"/>
  <c r="B67" i="11"/>
  <c r="C67" i="11"/>
  <c r="B25" i="11"/>
  <c r="C25" i="11"/>
  <c r="C38" i="10"/>
  <c r="B38" i="10"/>
  <c r="C26" i="20"/>
  <c r="B26" i="20"/>
  <c r="C87" i="10"/>
  <c r="B87" i="10"/>
  <c r="B66" i="11"/>
  <c r="C66" i="11"/>
  <c r="C8" i="18"/>
  <c r="B8" i="18"/>
  <c r="C31" i="10"/>
  <c r="B31" i="10"/>
  <c r="C22" i="8"/>
  <c r="B22" i="8"/>
  <c r="B17" i="10"/>
  <c r="C17" i="10"/>
  <c r="C25" i="10"/>
  <c r="B25" i="10"/>
  <c r="B70" i="11"/>
  <c r="C70" i="11"/>
  <c r="C8" i="15"/>
  <c r="B8" i="15"/>
  <c r="C8" i="19"/>
  <c r="B8" i="19"/>
  <c r="B53" i="8"/>
  <c r="C53" i="8"/>
  <c r="C43" i="10"/>
  <c r="B43" i="10"/>
  <c r="C13" i="21"/>
  <c r="B13" i="21"/>
  <c r="B51" i="8"/>
  <c r="C51" i="8"/>
  <c r="C15" i="19"/>
  <c r="B15" i="19"/>
  <c r="B13" i="11"/>
  <c r="C13" i="11"/>
  <c r="C34" i="10"/>
  <c r="B34" i="10"/>
  <c r="C48" i="8"/>
  <c r="B48" i="8"/>
  <c r="C82" i="10"/>
  <c r="B82" i="10"/>
  <c r="C16" i="10"/>
  <c r="B16" i="10"/>
  <c r="C61" i="11"/>
  <c r="B61" i="11"/>
  <c r="B74" i="11"/>
  <c r="C74" i="11"/>
  <c r="B34" i="8"/>
  <c r="C34" i="8"/>
  <c r="B46" i="11"/>
  <c r="C46" i="11"/>
  <c r="C60" i="11"/>
  <c r="B60" i="11"/>
  <c r="C29" i="11"/>
  <c r="B29" i="11"/>
  <c r="C47" i="8"/>
  <c r="B47" i="8"/>
  <c r="B22" i="11"/>
  <c r="C22" i="11"/>
  <c r="B10" i="14"/>
  <c r="C10" i="14"/>
  <c r="C62" i="11"/>
  <c r="B62" i="11"/>
  <c r="C36" i="10"/>
  <c r="B36" i="10"/>
  <c r="B9" i="15"/>
  <c r="C9" i="15"/>
  <c r="B19" i="20"/>
  <c r="C19" i="20"/>
  <c r="C48" i="10"/>
  <c r="B48" i="10"/>
  <c r="C35" i="10"/>
  <c r="B35" i="10"/>
  <c r="M12" i="1" l="1"/>
  <c r="AS5" i="23"/>
  <c r="AS4" i="23" s="1"/>
  <c r="AQ5" i="23"/>
  <c r="AQ4" i="23" s="1"/>
  <c r="AR5" i="23"/>
  <c r="AR4" i="23" s="1"/>
  <c r="AO5" i="23"/>
  <c r="AO4" i="23" s="1"/>
  <c r="AP5" i="23"/>
  <c r="AP4" i="23" s="1"/>
  <c r="AO6" i="23"/>
  <c r="AR6" i="23"/>
  <c r="AP6" i="23"/>
  <c r="AQ6" i="23"/>
  <c r="AS6" i="23"/>
  <c r="AO80" i="10"/>
  <c r="AO82" i="10"/>
  <c r="AO81" i="10"/>
  <c r="AO83" i="10"/>
  <c r="AO63" i="8"/>
  <c r="AO64" i="8"/>
  <c r="AQ5" i="3"/>
  <c r="AQ6" i="3"/>
  <c r="AI4" i="3"/>
  <c r="B5" i="15"/>
  <c r="C6" i="12"/>
  <c r="C6" i="15"/>
  <c r="G19" i="8"/>
  <c r="B5" i="22"/>
  <c r="C6" i="22"/>
  <c r="B5" i="10"/>
  <c r="B5" i="12"/>
  <c r="B5" i="20"/>
  <c r="C6" i="10"/>
  <c r="C6" i="20"/>
  <c r="B5" i="14"/>
  <c r="B5" i="13"/>
  <c r="B5" i="21"/>
  <c r="AK5" i="23"/>
  <c r="G5" i="23"/>
  <c r="Q5" i="23"/>
  <c r="E5" i="23"/>
  <c r="AB5" i="23"/>
  <c r="AA5" i="23"/>
  <c r="AV5" i="23"/>
  <c r="AM5" i="23"/>
  <c r="AM4" i="23" s="1"/>
  <c r="U5" i="23"/>
  <c r="AD5" i="23"/>
  <c r="W5" i="23"/>
  <c r="X5" i="23"/>
  <c r="O5" i="23"/>
  <c r="J5" i="23"/>
  <c r="AH5" i="23"/>
  <c r="AH4" i="23" s="1"/>
  <c r="P5" i="23"/>
  <c r="AC5" i="23"/>
  <c r="R5" i="23"/>
  <c r="Z5" i="23"/>
  <c r="Z4" i="23" s="1"/>
  <c r="D4" i="23" s="1"/>
  <c r="AE5" i="23"/>
  <c r="K5" i="23"/>
  <c r="AT5" i="23"/>
  <c r="AT4" i="23" s="1"/>
  <c r="S5" i="23"/>
  <c r="T5" i="23"/>
  <c r="AK1" i="23"/>
  <c r="AJ5" i="23"/>
  <c r="M5" i="23"/>
  <c r="AW5" i="23"/>
  <c r="AL1" i="23"/>
  <c r="V5" i="23"/>
  <c r="I5" i="23"/>
  <c r="F5" i="23"/>
  <c r="H5" i="23"/>
  <c r="Y5" i="23"/>
  <c r="AI5" i="23"/>
  <c r="AL5" i="23"/>
  <c r="L5" i="23"/>
  <c r="AU5" i="23"/>
  <c r="D5" i="23"/>
  <c r="N5" i="23"/>
  <c r="AG5" i="23"/>
  <c r="AF5" i="23"/>
  <c r="C6" i="11"/>
  <c r="B5" i="19"/>
  <c r="B5" i="18"/>
  <c r="C6" i="19"/>
  <c r="C6" i="18"/>
  <c r="C6" i="14"/>
  <c r="C6" i="13"/>
  <c r="C6" i="21"/>
  <c r="K6" i="23"/>
  <c r="AK6" i="23"/>
  <c r="AL6" i="23"/>
  <c r="AD6" i="23"/>
  <c r="AM6" i="23"/>
  <c r="AJ6" i="23"/>
  <c r="AH6" i="23"/>
  <c r="I6" i="23"/>
  <c r="AE6" i="23"/>
  <c r="F6" i="23"/>
  <c r="S6" i="23"/>
  <c r="D6" i="23"/>
  <c r="M6" i="23"/>
  <c r="AC6" i="23"/>
  <c r="AA6" i="23"/>
  <c r="J6" i="23"/>
  <c r="N6" i="23"/>
  <c r="R6" i="23"/>
  <c r="W6" i="23"/>
  <c r="AW6" i="23"/>
  <c r="X6" i="23"/>
  <c r="AV6" i="23"/>
  <c r="G6" i="23"/>
  <c r="U6" i="23"/>
  <c r="T6" i="23"/>
  <c r="P6" i="23"/>
  <c r="L6" i="23"/>
  <c r="AF6" i="23"/>
  <c r="Y6" i="23"/>
  <c r="AT6" i="23"/>
  <c r="AB6" i="23"/>
  <c r="E6" i="23"/>
  <c r="O6" i="23"/>
  <c r="Z6" i="23"/>
  <c r="V6" i="23"/>
  <c r="AU6" i="23"/>
  <c r="H6" i="23"/>
  <c r="AG6" i="23"/>
  <c r="AI6" i="23"/>
  <c r="Q6" i="23"/>
  <c r="B5" i="11"/>
  <c r="AN4" i="23" l="1"/>
  <c r="AN2" i="23" s="1"/>
  <c r="AO2" i="23" s="1"/>
  <c r="AP2" i="23" s="1"/>
  <c r="AQ2" i="23" s="1"/>
  <c r="AR2" i="23" s="1"/>
  <c r="AS2" i="23" s="1"/>
  <c r="AT2" i="23" s="1"/>
  <c r="AU2" i="23" s="1"/>
  <c r="AV2" i="23" s="1"/>
  <c r="AW2" i="23" s="1"/>
  <c r="AX4" i="23" s="1"/>
  <c r="AR6" i="22"/>
  <c r="AQ6" i="22"/>
  <c r="AS6" i="22"/>
  <c r="AP6" i="22"/>
  <c r="AO6" i="22"/>
  <c r="AS5" i="22"/>
  <c r="AS4" i="22" s="1"/>
  <c r="AR5" i="22"/>
  <c r="AR4" i="22" s="1"/>
  <c r="AO5" i="22"/>
  <c r="AO4" i="22" s="1"/>
  <c r="AQ5" i="22"/>
  <c r="AQ4" i="22" s="1"/>
  <c r="AP5" i="22"/>
  <c r="AP4" i="22" s="1"/>
  <c r="AP6" i="18"/>
  <c r="AQ6" i="18"/>
  <c r="AO6" i="18"/>
  <c r="AR6" i="18"/>
  <c r="AS6" i="18"/>
  <c r="AR5" i="18"/>
  <c r="AR4" i="18" s="1"/>
  <c r="AS5" i="18"/>
  <c r="AS4" i="18" s="1"/>
  <c r="AO5" i="18"/>
  <c r="AO4" i="18" s="1"/>
  <c r="AP5" i="18"/>
  <c r="AP4" i="18" s="1"/>
  <c r="AQ5" i="18"/>
  <c r="AQ4" i="18" s="1"/>
  <c r="AG6" i="15"/>
  <c r="AO6" i="15"/>
  <c r="AR6" i="15"/>
  <c r="AS6" i="15"/>
  <c r="AP6" i="15"/>
  <c r="AQ6" i="15"/>
  <c r="AI5" i="15"/>
  <c r="AR5" i="15"/>
  <c r="AR4" i="15" s="1"/>
  <c r="AQ5" i="15"/>
  <c r="AQ4" i="15" s="1"/>
  <c r="AS5" i="15"/>
  <c r="AS4" i="15" s="1"/>
  <c r="AO5" i="15"/>
  <c r="AO4" i="15" s="1"/>
  <c r="AP5" i="15"/>
  <c r="AP4" i="15" s="1"/>
  <c r="AS6" i="14"/>
  <c r="AP6" i="14"/>
  <c r="AO6" i="14"/>
  <c r="AQ6" i="14"/>
  <c r="AR6" i="14"/>
  <c r="AR5" i="14"/>
  <c r="AR4" i="14" s="1"/>
  <c r="AS5" i="14"/>
  <c r="AS4" i="14" s="1"/>
  <c r="AO5" i="14"/>
  <c r="AO4" i="14" s="1"/>
  <c r="AP5" i="14"/>
  <c r="AP4" i="14" s="1"/>
  <c r="AQ5" i="14"/>
  <c r="AQ4" i="14" s="1"/>
  <c r="AP6" i="13"/>
  <c r="AQ6" i="13"/>
  <c r="AR6" i="13"/>
  <c r="AO6" i="13"/>
  <c r="AS6" i="13"/>
  <c r="AR5" i="13"/>
  <c r="AR4" i="13" s="1"/>
  <c r="AS5" i="13"/>
  <c r="AS4" i="13" s="1"/>
  <c r="AO5" i="13"/>
  <c r="AO4" i="13" s="1"/>
  <c r="AP5" i="13"/>
  <c r="AP4" i="13" s="1"/>
  <c r="AQ5" i="13"/>
  <c r="AQ4" i="13" s="1"/>
  <c r="AR6" i="21"/>
  <c r="AQ6" i="21"/>
  <c r="AO6" i="21"/>
  <c r="AP6" i="21"/>
  <c r="AS6" i="21"/>
  <c r="AR5" i="21"/>
  <c r="AR4" i="21" s="1"/>
  <c r="AP5" i="21"/>
  <c r="AP4" i="21" s="1"/>
  <c r="AS5" i="21"/>
  <c r="AS4" i="21" s="1"/>
  <c r="AO5" i="21"/>
  <c r="AO4" i="21" s="1"/>
  <c r="AQ5" i="21"/>
  <c r="AQ4" i="21" s="1"/>
  <c r="AO6" i="20"/>
  <c r="AP6" i="20"/>
  <c r="AQ6" i="20"/>
  <c r="AR6" i="20"/>
  <c r="AS6" i="20"/>
  <c r="AR5" i="20"/>
  <c r="AR4" i="20" s="1"/>
  <c r="AS5" i="20"/>
  <c r="AS4" i="20" s="1"/>
  <c r="AO5" i="20"/>
  <c r="AO4" i="20" s="1"/>
  <c r="AP5" i="20"/>
  <c r="AP4" i="20" s="1"/>
  <c r="AQ5" i="20"/>
  <c r="AQ4" i="20" s="1"/>
  <c r="AO6" i="12"/>
  <c r="AQ6" i="12"/>
  <c r="AP6" i="12"/>
  <c r="AR6" i="12"/>
  <c r="AS6" i="12"/>
  <c r="AO5" i="12"/>
  <c r="AO4" i="12" s="1"/>
  <c r="AP5" i="12"/>
  <c r="AP4" i="12" s="1"/>
  <c r="AQ5" i="12"/>
  <c r="AQ4" i="12" s="1"/>
  <c r="AR5" i="12"/>
  <c r="AR4" i="12" s="1"/>
  <c r="AS5" i="12"/>
  <c r="AS4" i="12" s="1"/>
  <c r="S6" i="12"/>
  <c r="AR5" i="11"/>
  <c r="AS5" i="11"/>
  <c r="AO5" i="11"/>
  <c r="AP5" i="11"/>
  <c r="AQ5" i="11"/>
  <c r="AS6" i="11"/>
  <c r="AO6" i="11"/>
  <c r="AP6" i="11"/>
  <c r="AR6" i="11"/>
  <c r="AQ6" i="11"/>
  <c r="AR5" i="10"/>
  <c r="AS5" i="10"/>
  <c r="AO5" i="10"/>
  <c r="AQ5" i="10"/>
  <c r="AP5" i="10"/>
  <c r="AO6" i="10"/>
  <c r="AR6" i="10"/>
  <c r="AQ6" i="10"/>
  <c r="AS6" i="10"/>
  <c r="AP6" i="10"/>
  <c r="AO6" i="19"/>
  <c r="AP6" i="19"/>
  <c r="AQ6" i="19"/>
  <c r="AR6" i="19"/>
  <c r="AS6" i="19"/>
  <c r="AR5" i="19"/>
  <c r="AR4" i="19" s="1"/>
  <c r="AS5" i="19"/>
  <c r="AS4" i="19" s="1"/>
  <c r="AO5" i="19"/>
  <c r="AO4" i="19" s="1"/>
  <c r="AP5" i="19"/>
  <c r="AP4" i="19" s="1"/>
  <c r="AQ5" i="19"/>
  <c r="AQ4" i="19" s="1"/>
  <c r="AQ4" i="3"/>
  <c r="F19" i="1" s="1"/>
  <c r="AM6" i="15"/>
  <c r="AU6" i="12"/>
  <c r="N5" i="15"/>
  <c r="AI6" i="12"/>
  <c r="P5" i="15"/>
  <c r="AU5" i="15"/>
  <c r="Z5" i="15"/>
  <c r="J5" i="15"/>
  <c r="AW6" i="12"/>
  <c r="AU6" i="15"/>
  <c r="AH6" i="15"/>
  <c r="X6" i="15"/>
  <c r="AT5" i="15"/>
  <c r="W5" i="15"/>
  <c r="AB5" i="15"/>
  <c r="AV6" i="15"/>
  <c r="AE6" i="15"/>
  <c r="L5" i="15"/>
  <c r="I5" i="15"/>
  <c r="W6" i="15"/>
  <c r="Y5" i="15"/>
  <c r="AT6" i="15"/>
  <c r="T5" i="15"/>
  <c r="H5" i="15"/>
  <c r="Q5" i="15"/>
  <c r="I6" i="15"/>
  <c r="AG5" i="15"/>
  <c r="M5" i="15"/>
  <c r="AK6" i="15"/>
  <c r="L6" i="15"/>
  <c r="R6" i="15"/>
  <c r="Z6" i="15"/>
  <c r="M6" i="15"/>
  <c r="T6" i="15"/>
  <c r="V6" i="15"/>
  <c r="Y6" i="15"/>
  <c r="AJ6" i="15"/>
  <c r="AE5" i="15"/>
  <c r="E5" i="15"/>
  <c r="S5" i="15"/>
  <c r="N6" i="15"/>
  <c r="K6" i="15"/>
  <c r="H6" i="15"/>
  <c r="D6" i="15"/>
  <c r="S6" i="15"/>
  <c r="AW6" i="15"/>
  <c r="AC6" i="15"/>
  <c r="G5" i="15"/>
  <c r="AV5" i="15"/>
  <c r="Q6" i="12"/>
  <c r="AD6" i="15"/>
  <c r="J6" i="15"/>
  <c r="O6" i="15"/>
  <c r="AF5" i="15"/>
  <c r="D5" i="15"/>
  <c r="AK5" i="15"/>
  <c r="K5" i="15"/>
  <c r="AK1" i="15"/>
  <c r="AB6" i="15"/>
  <c r="F6" i="15"/>
  <c r="Q6" i="15"/>
  <c r="G6" i="15"/>
  <c r="AL6" i="15"/>
  <c r="O5" i="15"/>
  <c r="AA5" i="15"/>
  <c r="AM5" i="15"/>
  <c r="R5" i="15"/>
  <c r="AL1" i="15"/>
  <c r="U6" i="12"/>
  <c r="P6" i="12"/>
  <c r="R6" i="12"/>
  <c r="AF6" i="12"/>
  <c r="X6" i="12"/>
  <c r="M6" i="12"/>
  <c r="AT6" i="12"/>
  <c r="J6" i="12"/>
  <c r="T6" i="12"/>
  <c r="Z6" i="12"/>
  <c r="G6" i="12"/>
  <c r="AK6" i="12"/>
  <c r="H6" i="12"/>
  <c r="D6" i="12"/>
  <c r="AD6" i="12"/>
  <c r="AE6" i="12"/>
  <c r="AJ6" i="12"/>
  <c r="AL6" i="12"/>
  <c r="Y6" i="12"/>
  <c r="W6" i="12"/>
  <c r="AA6" i="12"/>
  <c r="AV6" i="12"/>
  <c r="L6" i="12"/>
  <c r="V6" i="12"/>
  <c r="AB6" i="12"/>
  <c r="O6" i="12"/>
  <c r="AG6" i="12"/>
  <c r="AC6" i="12"/>
  <c r="N6" i="12"/>
  <c r="AM6" i="12"/>
  <c r="AA6" i="15"/>
  <c r="P6" i="15"/>
  <c r="E6" i="15"/>
  <c r="U6" i="15"/>
  <c r="AF6" i="15"/>
  <c r="AW5" i="15"/>
  <c r="F5" i="15"/>
  <c r="V5" i="15"/>
  <c r="AD5" i="15"/>
  <c r="AH5" i="15"/>
  <c r="I6" i="12"/>
  <c r="F6" i="12"/>
  <c r="AH6" i="12"/>
  <c r="E6" i="12"/>
  <c r="K6" i="12"/>
  <c r="AI6" i="15"/>
  <c r="AC5" i="15"/>
  <c r="AJ5" i="15"/>
  <c r="U5" i="15"/>
  <c r="X5" i="15"/>
  <c r="AL5" i="15"/>
  <c r="V5" i="18"/>
  <c r="AW5" i="18"/>
  <c r="AM5" i="18"/>
  <c r="AT5" i="18"/>
  <c r="N5" i="18"/>
  <c r="AI5" i="18"/>
  <c r="AK1" i="18" s="1"/>
  <c r="S5" i="18"/>
  <c r="W5" i="18"/>
  <c r="G5" i="18"/>
  <c r="H5" i="18"/>
  <c r="AE5" i="18"/>
  <c r="Z5" i="18"/>
  <c r="I5" i="18"/>
  <c r="P5" i="18"/>
  <c r="F5" i="18"/>
  <c r="L5" i="18"/>
  <c r="AH5" i="18"/>
  <c r="AD5" i="18"/>
  <c r="E5" i="18"/>
  <c r="Y5" i="18"/>
  <c r="Q5" i="18"/>
  <c r="R5" i="18"/>
  <c r="U5" i="18"/>
  <c r="AJ5" i="18"/>
  <c r="AL1" i="18" s="1"/>
  <c r="AU5" i="18"/>
  <c r="O5" i="18"/>
  <c r="X5" i="18"/>
  <c r="AA5" i="18"/>
  <c r="AV5" i="18"/>
  <c r="J5" i="18"/>
  <c r="M5" i="18"/>
  <c r="D5" i="18"/>
  <c r="AC5" i="18"/>
  <c r="T5" i="18"/>
  <c r="K5" i="18"/>
  <c r="AB5" i="18"/>
  <c r="AG5" i="18"/>
  <c r="AF5" i="18"/>
  <c r="AF4" i="23"/>
  <c r="R5" i="21"/>
  <c r="AI5" i="21"/>
  <c r="AK1" i="21" s="1"/>
  <c r="V5" i="21"/>
  <c r="AV5" i="21"/>
  <c r="AA5" i="21"/>
  <c r="U5" i="21"/>
  <c r="S5" i="21"/>
  <c r="I5" i="21"/>
  <c r="AJ5" i="21"/>
  <c r="AL1" i="21" s="1"/>
  <c r="AD5" i="21"/>
  <c r="K5" i="21"/>
  <c r="AH5" i="21"/>
  <c r="P5" i="21"/>
  <c r="AM5" i="21"/>
  <c r="O5" i="21"/>
  <c r="Z5" i="21"/>
  <c r="AT5" i="21"/>
  <c r="G5" i="21"/>
  <c r="AW5" i="21"/>
  <c r="W5" i="21"/>
  <c r="D5" i="21"/>
  <c r="Y5" i="21"/>
  <c r="H5" i="21"/>
  <c r="T5" i="21"/>
  <c r="J5" i="21"/>
  <c r="X5" i="21"/>
  <c r="Q5" i="21"/>
  <c r="AB5" i="21"/>
  <c r="E5" i="21"/>
  <c r="AE5" i="21"/>
  <c r="AU5" i="21"/>
  <c r="M5" i="21"/>
  <c r="AC5" i="21"/>
  <c r="N5" i="21"/>
  <c r="F5" i="21"/>
  <c r="L5" i="21"/>
  <c r="AG5" i="21"/>
  <c r="AF5" i="21"/>
  <c r="AK5" i="12"/>
  <c r="AT5" i="12"/>
  <c r="AI5" i="12"/>
  <c r="P5" i="12"/>
  <c r="I5" i="12"/>
  <c r="AL5" i="12"/>
  <c r="AL1" i="12"/>
  <c r="AK1" i="12"/>
  <c r="L5" i="12"/>
  <c r="AE5" i="12"/>
  <c r="Y5" i="12"/>
  <c r="AJ5" i="12"/>
  <c r="K5" i="12"/>
  <c r="T5" i="12"/>
  <c r="N5" i="12"/>
  <c r="J5" i="12"/>
  <c r="U5" i="12"/>
  <c r="AA5" i="12"/>
  <c r="AW5" i="12"/>
  <c r="Z5" i="12"/>
  <c r="Z4" i="12" s="1"/>
  <c r="D4" i="12" s="1"/>
  <c r="H5" i="12"/>
  <c r="W5" i="12"/>
  <c r="V5" i="12"/>
  <c r="X5" i="12"/>
  <c r="O5" i="12"/>
  <c r="AU5" i="12"/>
  <c r="AM5" i="12"/>
  <c r="D5" i="12"/>
  <c r="Q5" i="12"/>
  <c r="AC5" i="12"/>
  <c r="E5" i="12"/>
  <c r="AG5" i="12"/>
  <c r="AB5" i="12"/>
  <c r="S5" i="12"/>
  <c r="F5" i="12"/>
  <c r="M5" i="12"/>
  <c r="R5" i="12"/>
  <c r="AV5" i="12"/>
  <c r="G5" i="12"/>
  <c r="AD5" i="12"/>
  <c r="AH5" i="12"/>
  <c r="AF5" i="12"/>
  <c r="AT6" i="20"/>
  <c r="O6" i="20"/>
  <c r="AF6" i="20"/>
  <c r="V6" i="20"/>
  <c r="H6" i="20"/>
  <c r="AG6" i="20"/>
  <c r="S6" i="20"/>
  <c r="X6" i="20"/>
  <c r="AB6" i="20"/>
  <c r="E6" i="20"/>
  <c r="AW6" i="20"/>
  <c r="Z6" i="20"/>
  <c r="Q6" i="20"/>
  <c r="N6" i="20"/>
  <c r="Y6" i="20"/>
  <c r="K6" i="20"/>
  <c r="AC6" i="20"/>
  <c r="L6" i="20"/>
  <c r="AH6" i="20"/>
  <c r="U6" i="20"/>
  <c r="P6" i="20"/>
  <c r="J6" i="20"/>
  <c r="W6" i="20"/>
  <c r="M6" i="20"/>
  <c r="AI6" i="20"/>
  <c r="AL6" i="20"/>
  <c r="T6" i="20"/>
  <c r="F6" i="20"/>
  <c r="AK6" i="20"/>
  <c r="R6" i="20"/>
  <c r="G6" i="20"/>
  <c r="AA6" i="20"/>
  <c r="AV6" i="20"/>
  <c r="AU6" i="20"/>
  <c r="AD6" i="20"/>
  <c r="AM6" i="20"/>
  <c r="D6" i="20"/>
  <c r="AJ6" i="20"/>
  <c r="AE6" i="20"/>
  <c r="I6" i="20"/>
  <c r="AW6" i="21"/>
  <c r="AF6" i="21"/>
  <c r="AB6" i="21"/>
  <c r="Y6" i="21"/>
  <c r="L6" i="21"/>
  <c r="J6" i="21"/>
  <c r="G6" i="21"/>
  <c r="T6" i="21"/>
  <c r="F6" i="21"/>
  <c r="AD6" i="21"/>
  <c r="AJ6" i="21"/>
  <c r="AK6" i="21"/>
  <c r="AC6" i="21"/>
  <c r="N6" i="21"/>
  <c r="P6" i="21"/>
  <c r="AV6" i="21"/>
  <c r="M6" i="21"/>
  <c r="E6" i="21"/>
  <c r="AA6" i="21"/>
  <c r="W6" i="21"/>
  <c r="V6" i="21"/>
  <c r="AH6" i="21"/>
  <c r="H6" i="21"/>
  <c r="AT6" i="21"/>
  <c r="AE6" i="21"/>
  <c r="D6" i="21"/>
  <c r="X6" i="21"/>
  <c r="R6" i="21"/>
  <c r="O6" i="21"/>
  <c r="AG6" i="21"/>
  <c r="K6" i="21"/>
  <c r="AI6" i="21"/>
  <c r="U6" i="21"/>
  <c r="AM6" i="21"/>
  <c r="Z6" i="21"/>
  <c r="AU6" i="21"/>
  <c r="S6" i="21"/>
  <c r="AL6" i="21"/>
  <c r="I6" i="21"/>
  <c r="Q6" i="21"/>
  <c r="AW5" i="20"/>
  <c r="AE5" i="20"/>
  <c r="Q5" i="20"/>
  <c r="U5" i="20"/>
  <c r="Z5" i="20"/>
  <c r="Y5" i="20"/>
  <c r="R5" i="20"/>
  <c r="N5" i="20"/>
  <c r="AD5" i="20"/>
  <c r="T5" i="20"/>
  <c r="AC5" i="20"/>
  <c r="AM5" i="20"/>
  <c r="AM4" i="20" s="1"/>
  <c r="H5" i="20"/>
  <c r="K5" i="20"/>
  <c r="L5" i="20"/>
  <c r="V5" i="20"/>
  <c r="AH5" i="20"/>
  <c r="AU5" i="20"/>
  <c r="AI5" i="20"/>
  <c r="AK1" i="20" s="1"/>
  <c r="J5" i="20"/>
  <c r="AJ5" i="20"/>
  <c r="AL1" i="20" s="1"/>
  <c r="D5" i="20"/>
  <c r="E5" i="20"/>
  <c r="AB5" i="20"/>
  <c r="AA5" i="20"/>
  <c r="I5" i="20"/>
  <c r="S5" i="20"/>
  <c r="X5" i="20"/>
  <c r="O5" i="20"/>
  <c r="P5" i="20"/>
  <c r="AT5" i="20"/>
  <c r="M5" i="20"/>
  <c r="AV5" i="20"/>
  <c r="G5" i="20"/>
  <c r="W5" i="20"/>
  <c r="F5" i="20"/>
  <c r="AG5" i="20"/>
  <c r="AF5" i="20"/>
  <c r="AB6" i="13"/>
  <c r="AA6" i="13"/>
  <c r="F6" i="13"/>
  <c r="L6" i="13"/>
  <c r="T6" i="13"/>
  <c r="AW6" i="13"/>
  <c r="I6" i="13"/>
  <c r="AD6" i="13"/>
  <c r="U6" i="13"/>
  <c r="H6" i="13"/>
  <c r="P6" i="13"/>
  <c r="AI6" i="13"/>
  <c r="AU6" i="13"/>
  <c r="D6" i="13"/>
  <c r="Z6" i="13"/>
  <c r="AK6" i="13"/>
  <c r="AJ6" i="13"/>
  <c r="O6" i="13"/>
  <c r="AE6" i="13"/>
  <c r="J6" i="13"/>
  <c r="K6" i="13"/>
  <c r="E6" i="13"/>
  <c r="X6" i="13"/>
  <c r="V6" i="13"/>
  <c r="AC6" i="13"/>
  <c r="AM6" i="13"/>
  <c r="Q6" i="13"/>
  <c r="Y6" i="13"/>
  <c r="AV6" i="13"/>
  <c r="N6" i="13"/>
  <c r="R6" i="13"/>
  <c r="M6" i="13"/>
  <c r="AH6" i="13"/>
  <c r="AF6" i="13"/>
  <c r="AL6" i="13"/>
  <c r="S6" i="13"/>
  <c r="AG6" i="13"/>
  <c r="AT6" i="13"/>
  <c r="G6" i="13"/>
  <c r="W6" i="13"/>
  <c r="AG4" i="23"/>
  <c r="Y5" i="10"/>
  <c r="AK1" i="10"/>
  <c r="U5" i="10"/>
  <c r="AJ5" i="10"/>
  <c r="D5" i="10"/>
  <c r="AW5" i="10"/>
  <c r="I5" i="10"/>
  <c r="Z5" i="10"/>
  <c r="E5" i="10"/>
  <c r="AH5" i="10"/>
  <c r="H5" i="10"/>
  <c r="AM5" i="10"/>
  <c r="R5" i="10"/>
  <c r="J5" i="10"/>
  <c r="M5" i="10"/>
  <c r="W5" i="10"/>
  <c r="S5" i="10"/>
  <c r="AD5" i="10"/>
  <c r="AL5" i="10"/>
  <c r="L5" i="10"/>
  <c r="G5" i="10"/>
  <c r="X5" i="10"/>
  <c r="AU5" i="10"/>
  <c r="AC5" i="10"/>
  <c r="P5" i="10"/>
  <c r="Q5" i="10"/>
  <c r="V5" i="10"/>
  <c r="AV5" i="10"/>
  <c r="T5" i="10"/>
  <c r="O5" i="10"/>
  <c r="AK5" i="10"/>
  <c r="AE5" i="10"/>
  <c r="AI5" i="10"/>
  <c r="F5" i="10"/>
  <c r="AL1" i="10"/>
  <c r="AT5" i="10"/>
  <c r="AA5" i="10"/>
  <c r="AB5" i="10"/>
  <c r="N5" i="10"/>
  <c r="K5" i="10"/>
  <c r="AG5" i="10"/>
  <c r="AF5" i="10"/>
  <c r="U5" i="19"/>
  <c r="AE5" i="19"/>
  <c r="Z5" i="19"/>
  <c r="AW5" i="19"/>
  <c r="D5" i="19"/>
  <c r="Q5" i="19"/>
  <c r="E5" i="19"/>
  <c r="W5" i="19"/>
  <c r="X5" i="19"/>
  <c r="AI5" i="19"/>
  <c r="AK1" i="19" s="1"/>
  <c r="AH5" i="19"/>
  <c r="L5" i="19"/>
  <c r="K5" i="19"/>
  <c r="N5" i="19"/>
  <c r="J5" i="19"/>
  <c r="Y5" i="19"/>
  <c r="F5" i="19"/>
  <c r="V5" i="19"/>
  <c r="G5" i="19"/>
  <c r="AD5" i="19"/>
  <c r="S5" i="19"/>
  <c r="I5" i="19"/>
  <c r="H5" i="19"/>
  <c r="AC5" i="19"/>
  <c r="AV5" i="19"/>
  <c r="AB5" i="19"/>
  <c r="R5" i="19"/>
  <c r="T5" i="19"/>
  <c r="AJ5" i="19"/>
  <c r="AL1" i="19" s="1"/>
  <c r="AG5" i="19"/>
  <c r="AT5" i="19"/>
  <c r="AU5" i="19"/>
  <c r="P5" i="19"/>
  <c r="O5" i="19"/>
  <c r="AA5" i="19"/>
  <c r="M5" i="19"/>
  <c r="AF5" i="19"/>
  <c r="AT6" i="11"/>
  <c r="T6" i="11"/>
  <c r="AU6" i="11"/>
  <c r="X6" i="11"/>
  <c r="K6" i="11"/>
  <c r="AJ6" i="11"/>
  <c r="Q6" i="11"/>
  <c r="AV6" i="11"/>
  <c r="H6" i="11"/>
  <c r="AC6" i="11"/>
  <c r="AG6" i="11"/>
  <c r="G6" i="11"/>
  <c r="D6" i="11"/>
  <c r="AM6" i="11"/>
  <c r="P6" i="11"/>
  <c r="M6" i="11"/>
  <c r="S6" i="11"/>
  <c r="O6" i="11"/>
  <c r="AI6" i="11"/>
  <c r="Y6" i="11"/>
  <c r="AW6" i="11"/>
  <c r="AK6" i="11"/>
  <c r="AE6" i="11"/>
  <c r="L6" i="11"/>
  <c r="W6" i="11"/>
  <c r="AD6" i="11"/>
  <c r="AL6" i="11"/>
  <c r="AH6" i="11"/>
  <c r="AA6" i="11"/>
  <c r="J6" i="11"/>
  <c r="F6" i="11"/>
  <c r="Z6" i="11"/>
  <c r="AB6" i="11"/>
  <c r="R6" i="11"/>
  <c r="AF6" i="11"/>
  <c r="U6" i="11"/>
  <c r="N6" i="11"/>
  <c r="I6" i="11"/>
  <c r="E6" i="11"/>
  <c r="V6" i="11"/>
  <c r="B4" i="23"/>
  <c r="C4" i="23"/>
  <c r="AK6" i="14"/>
  <c r="F6" i="14"/>
  <c r="I6" i="14"/>
  <c r="P6" i="14"/>
  <c r="R6" i="14"/>
  <c r="W6" i="14"/>
  <c r="AM6" i="14"/>
  <c r="AC6" i="14"/>
  <c r="T6" i="14"/>
  <c r="M6" i="14"/>
  <c r="E6" i="14"/>
  <c r="D6" i="14"/>
  <c r="AI6" i="14"/>
  <c r="N6" i="14"/>
  <c r="V6" i="14"/>
  <c r="AT6" i="14"/>
  <c r="Y6" i="14"/>
  <c r="S6" i="14"/>
  <c r="AW6" i="14"/>
  <c r="AG6" i="14"/>
  <c r="AV6" i="14"/>
  <c r="AD6" i="14"/>
  <c r="AA6" i="14"/>
  <c r="Z6" i="14"/>
  <c r="U6" i="14"/>
  <c r="K6" i="14"/>
  <c r="AJ6" i="14"/>
  <c r="J6" i="14"/>
  <c r="L6" i="14"/>
  <c r="Q6" i="14"/>
  <c r="AU6" i="14"/>
  <c r="X6" i="14"/>
  <c r="AH6" i="14"/>
  <c r="G6" i="14"/>
  <c r="AF6" i="14"/>
  <c r="AB6" i="14"/>
  <c r="O6" i="14"/>
  <c r="AE6" i="14"/>
  <c r="H6" i="14"/>
  <c r="AL6" i="14"/>
  <c r="AB6" i="22"/>
  <c r="G6" i="22"/>
  <c r="Y6" i="22"/>
  <c r="N6" i="22"/>
  <c r="F6" i="22"/>
  <c r="AC6" i="22"/>
  <c r="Z6" i="22"/>
  <c r="X6" i="22"/>
  <c r="AG6" i="22"/>
  <c r="AH6" i="22"/>
  <c r="O6" i="22"/>
  <c r="AI6" i="22"/>
  <c r="AF6" i="22"/>
  <c r="Q6" i="22"/>
  <c r="AE6" i="22"/>
  <c r="AD6" i="22"/>
  <c r="U6" i="22"/>
  <c r="S6" i="22"/>
  <c r="AV6" i="22"/>
  <c r="AW6" i="22"/>
  <c r="K6" i="22"/>
  <c r="R6" i="22"/>
  <c r="H6" i="22"/>
  <c r="P6" i="22"/>
  <c r="AU6" i="22"/>
  <c r="D6" i="22"/>
  <c r="T6" i="22"/>
  <c r="J6" i="22"/>
  <c r="I6" i="22"/>
  <c r="L6" i="22"/>
  <c r="AA6" i="22"/>
  <c r="V6" i="22"/>
  <c r="W6" i="22"/>
  <c r="AJ6" i="22"/>
  <c r="AM6" i="22"/>
  <c r="M6" i="22"/>
  <c r="E6" i="22"/>
  <c r="M5" i="22"/>
  <c r="E5" i="22"/>
  <c r="G5" i="22"/>
  <c r="Z5" i="22"/>
  <c r="AJ5" i="22"/>
  <c r="AL1" i="22" s="1"/>
  <c r="U5" i="22"/>
  <c r="AU5" i="22"/>
  <c r="AV5" i="22"/>
  <c r="W5" i="22"/>
  <c r="AH5" i="22"/>
  <c r="D5" i="22"/>
  <c r="K5" i="22"/>
  <c r="N5" i="22"/>
  <c r="AI5" i="22"/>
  <c r="O5" i="22"/>
  <c r="F5" i="22"/>
  <c r="J5" i="22"/>
  <c r="Q5" i="22"/>
  <c r="AE5" i="22"/>
  <c r="AA5" i="22"/>
  <c r="V5" i="22"/>
  <c r="AB5" i="22"/>
  <c r="R5" i="22"/>
  <c r="H5" i="22"/>
  <c r="S5" i="22"/>
  <c r="AW5" i="22"/>
  <c r="P5" i="22"/>
  <c r="AC5" i="22"/>
  <c r="L5" i="22"/>
  <c r="T5" i="22"/>
  <c r="Y5" i="22"/>
  <c r="I5" i="22"/>
  <c r="AD5" i="22"/>
  <c r="X5" i="22"/>
  <c r="AG5" i="22"/>
  <c r="AF5" i="22"/>
  <c r="Z5" i="11"/>
  <c r="W5" i="11"/>
  <c r="AL5" i="11"/>
  <c r="AI5" i="11"/>
  <c r="AL1" i="11"/>
  <c r="L5" i="11"/>
  <c r="H5" i="11"/>
  <c r="AK5" i="11"/>
  <c r="X5" i="11"/>
  <c r="AC5" i="11"/>
  <c r="G5" i="11"/>
  <c r="F5" i="11"/>
  <c r="P5" i="11"/>
  <c r="R5" i="11"/>
  <c r="AJ5" i="11"/>
  <c r="E5" i="11"/>
  <c r="S5" i="11"/>
  <c r="D5" i="11"/>
  <c r="AH5" i="11"/>
  <c r="AD5" i="11"/>
  <c r="T5" i="11"/>
  <c r="J5" i="11"/>
  <c r="AU5" i="11"/>
  <c r="AB5" i="11"/>
  <c r="V5" i="11"/>
  <c r="K5" i="11"/>
  <c r="AA5" i="11"/>
  <c r="Y5" i="11"/>
  <c r="AV5" i="11"/>
  <c r="AE5" i="11"/>
  <c r="AM5" i="11"/>
  <c r="Q5" i="11"/>
  <c r="N5" i="11"/>
  <c r="O5" i="11"/>
  <c r="I5" i="11"/>
  <c r="AW5" i="11"/>
  <c r="U5" i="11"/>
  <c r="M5" i="11"/>
  <c r="AT5" i="11"/>
  <c r="AK1" i="11"/>
  <c r="AG5" i="11"/>
  <c r="AF5" i="11"/>
  <c r="E6" i="10"/>
  <c r="N6" i="10"/>
  <c r="T6" i="10"/>
  <c r="H6" i="10"/>
  <c r="AT6" i="10"/>
  <c r="V6" i="10"/>
  <c r="W6" i="10"/>
  <c r="AK6" i="10"/>
  <c r="AW6" i="10"/>
  <c r="AF6" i="10"/>
  <c r="AG6" i="10"/>
  <c r="K6" i="10"/>
  <c r="Z6" i="10"/>
  <c r="J6" i="10"/>
  <c r="S6" i="10"/>
  <c r="X6" i="10"/>
  <c r="F6" i="10"/>
  <c r="I6" i="10"/>
  <c r="AU6" i="10"/>
  <c r="AA6" i="10"/>
  <c r="AV6" i="10"/>
  <c r="G6" i="10"/>
  <c r="D6" i="10"/>
  <c r="M6" i="10"/>
  <c r="O6" i="10"/>
  <c r="AJ6" i="10"/>
  <c r="AL6" i="10"/>
  <c r="R6" i="10"/>
  <c r="U6" i="10"/>
  <c r="Y6" i="10"/>
  <c r="Q6" i="10"/>
  <c r="AB6" i="10"/>
  <c r="AC6" i="10"/>
  <c r="L6" i="10"/>
  <c r="AD6" i="10"/>
  <c r="P6" i="10"/>
  <c r="AI6" i="10"/>
  <c r="AH6" i="10"/>
  <c r="AM6" i="10"/>
  <c r="AE6" i="10"/>
  <c r="P6" i="18"/>
  <c r="AK6" i="18"/>
  <c r="AV6" i="18"/>
  <c r="AU6" i="18"/>
  <c r="AL6" i="18"/>
  <c r="E6" i="18"/>
  <c r="F6" i="18"/>
  <c r="AD6" i="18"/>
  <c r="AA6" i="18"/>
  <c r="K6" i="18"/>
  <c r="AJ6" i="18"/>
  <c r="Y6" i="18"/>
  <c r="I6" i="18"/>
  <c r="H6" i="18"/>
  <c r="AG6" i="18"/>
  <c r="O6" i="18"/>
  <c r="Z6" i="18"/>
  <c r="AC6" i="18"/>
  <c r="R6" i="18"/>
  <c r="D6" i="18"/>
  <c r="X6" i="18"/>
  <c r="AM6" i="18"/>
  <c r="U6" i="18"/>
  <c r="N6" i="18"/>
  <c r="J6" i="18"/>
  <c r="T6" i="18"/>
  <c r="Q6" i="18"/>
  <c r="V6" i="18"/>
  <c r="AI6" i="18"/>
  <c r="S6" i="18"/>
  <c r="AH6" i="18"/>
  <c r="L6" i="18"/>
  <c r="W6" i="18"/>
  <c r="AB6" i="18"/>
  <c r="G6" i="18"/>
  <c r="AF6" i="18"/>
  <c r="M6" i="18"/>
  <c r="AW6" i="18"/>
  <c r="AE6" i="18"/>
  <c r="AT6" i="18"/>
  <c r="K5" i="13"/>
  <c r="AK5" i="13"/>
  <c r="Y5" i="13"/>
  <c r="AK1" i="13"/>
  <c r="H5" i="13"/>
  <c r="AM5" i="13"/>
  <c r="N5" i="13"/>
  <c r="X5" i="13"/>
  <c r="AB5" i="13"/>
  <c r="T5" i="13"/>
  <c r="P5" i="13"/>
  <c r="AE5" i="13"/>
  <c r="L5" i="13"/>
  <c r="G5" i="13"/>
  <c r="AA5" i="13"/>
  <c r="V5" i="13"/>
  <c r="AJ5" i="13"/>
  <c r="AU5" i="13"/>
  <c r="AL5" i="13"/>
  <c r="R5" i="13"/>
  <c r="W5" i="13"/>
  <c r="Q5" i="13"/>
  <c r="Z5" i="13"/>
  <c r="Z4" i="13" s="1"/>
  <c r="D4" i="13" s="1"/>
  <c r="U5" i="13"/>
  <c r="AC5" i="13"/>
  <c r="AI5" i="13"/>
  <c r="AT5" i="13"/>
  <c r="J5" i="13"/>
  <c r="I5" i="13"/>
  <c r="S5" i="13"/>
  <c r="D5" i="13"/>
  <c r="AG5" i="13"/>
  <c r="F5" i="13"/>
  <c r="M5" i="13"/>
  <c r="E5" i="13"/>
  <c r="AD5" i="13"/>
  <c r="AW5" i="13"/>
  <c r="AL1" i="13"/>
  <c r="O5" i="13"/>
  <c r="AV5" i="13"/>
  <c r="AH5" i="13"/>
  <c r="AF5" i="13"/>
  <c r="G6" i="19"/>
  <c r="AW6" i="19"/>
  <c r="L6" i="19"/>
  <c r="AG6" i="19"/>
  <c r="F6" i="19"/>
  <c r="AI6" i="19"/>
  <c r="AJ6" i="19"/>
  <c r="R6" i="19"/>
  <c r="T6" i="19"/>
  <c r="S6" i="19"/>
  <c r="D6" i="19"/>
  <c r="Z6" i="19"/>
  <c r="O6" i="19"/>
  <c r="X6" i="19"/>
  <c r="W6" i="19"/>
  <c r="E6" i="19"/>
  <c r="AC6" i="19"/>
  <c r="U6" i="19"/>
  <c r="AD6" i="19"/>
  <c r="I6" i="19"/>
  <c r="V6" i="19"/>
  <c r="Y6" i="19"/>
  <c r="AT6" i="19"/>
  <c r="K6" i="19"/>
  <c r="P6" i="19"/>
  <c r="AH6" i="19"/>
  <c r="AU6" i="19"/>
  <c r="AF6" i="19"/>
  <c r="N6" i="19"/>
  <c r="AB6" i="19"/>
  <c r="AV6" i="19"/>
  <c r="J6" i="19"/>
  <c r="AA6" i="19"/>
  <c r="AE6" i="19"/>
  <c r="H6" i="19"/>
  <c r="M6" i="19"/>
  <c r="Q6" i="19"/>
  <c r="F5" i="14"/>
  <c r="E5" i="14"/>
  <c r="AE5" i="14"/>
  <c r="O5" i="14"/>
  <c r="H5" i="14"/>
  <c r="X5" i="14"/>
  <c r="G5" i="14"/>
  <c r="J5" i="14"/>
  <c r="P5" i="14"/>
  <c r="V5" i="14"/>
  <c r="N5" i="14"/>
  <c r="AJ5" i="14"/>
  <c r="AV5" i="14"/>
  <c r="Q5" i="14"/>
  <c r="U5" i="14"/>
  <c r="D5" i="14"/>
  <c r="I5" i="14"/>
  <c r="Z5" i="14"/>
  <c r="Z4" i="14" s="1"/>
  <c r="D4" i="14" s="1"/>
  <c r="AH5" i="14"/>
  <c r="S5" i="14"/>
  <c r="AW5" i="14"/>
  <c r="AC5" i="14"/>
  <c r="AK5" i="14"/>
  <c r="AB5" i="14"/>
  <c r="AU5" i="14"/>
  <c r="Y5" i="14"/>
  <c r="K5" i="14"/>
  <c r="AA5" i="14"/>
  <c r="M5" i="14"/>
  <c r="AL5" i="14"/>
  <c r="AG5" i="14"/>
  <c r="L5" i="14"/>
  <c r="W5" i="14"/>
  <c r="T5" i="14"/>
  <c r="AM5" i="14"/>
  <c r="AL1" i="14"/>
  <c r="AT5" i="14"/>
  <c r="AK1" i="14"/>
  <c r="AD5" i="14"/>
  <c r="AI5" i="14"/>
  <c r="R5" i="14"/>
  <c r="AF5" i="14"/>
  <c r="G20" i="8"/>
  <c r="C19" i="8"/>
  <c r="B19" i="8"/>
  <c r="AL5" i="20" l="1"/>
  <c r="AN4" i="15"/>
  <c r="AN2" i="15" s="1"/>
  <c r="AN4" i="14"/>
  <c r="AN2" i="14" s="1"/>
  <c r="AN4" i="13"/>
  <c r="AN2" i="13" s="1"/>
  <c r="AN4" i="12"/>
  <c r="AN2" i="12" s="1"/>
  <c r="AN4" i="11"/>
  <c r="AN2" i="11" s="1"/>
  <c r="AN4" i="10"/>
  <c r="AN2" i="10" s="1"/>
  <c r="AQ4" i="10"/>
  <c r="AR4" i="11"/>
  <c r="AQ4" i="11"/>
  <c r="AR4" i="10"/>
  <c r="AO4" i="11"/>
  <c r="AS4" i="10"/>
  <c r="AO4" i="10"/>
  <c r="AP4" i="11"/>
  <c r="AP4" i="10"/>
  <c r="AS4" i="11"/>
  <c r="AG4" i="15"/>
  <c r="AF4" i="15" s="1"/>
  <c r="AM5" i="22"/>
  <c r="AM4" i="22" s="1"/>
  <c r="AK5" i="21"/>
  <c r="AL5" i="18"/>
  <c r="AK5" i="20"/>
  <c r="AN4" i="20" s="1"/>
  <c r="AL5" i="21"/>
  <c r="AK5" i="18"/>
  <c r="Z4" i="19"/>
  <c r="D4" i="19" s="1"/>
  <c r="C4" i="19" s="1"/>
  <c r="Z4" i="18"/>
  <c r="D4" i="18" s="1"/>
  <c r="B4" i="18" s="1"/>
  <c r="Z4" i="22"/>
  <c r="D4" i="22" s="1"/>
  <c r="C4" i="22" s="1"/>
  <c r="Z4" i="15"/>
  <c r="D4" i="15" s="1"/>
  <c r="C4" i="15" s="1"/>
  <c r="AM4" i="14"/>
  <c r="AT4" i="15"/>
  <c r="AM4" i="15"/>
  <c r="AH4" i="11"/>
  <c r="AH4" i="14"/>
  <c r="AH4" i="22"/>
  <c r="AH4" i="20"/>
  <c r="AT4" i="12"/>
  <c r="AM4" i="13"/>
  <c r="AH4" i="15"/>
  <c r="AT4" i="13"/>
  <c r="AT4" i="14"/>
  <c r="AL6" i="19"/>
  <c r="Z4" i="20"/>
  <c r="D4" i="20" s="1"/>
  <c r="B4" i="20" s="1"/>
  <c r="AL6" i="22"/>
  <c r="AM4" i="12"/>
  <c r="AK6" i="19"/>
  <c r="AT4" i="21"/>
  <c r="AM4" i="18"/>
  <c r="AH4" i="13"/>
  <c r="Z4" i="21"/>
  <c r="D4" i="21" s="1"/>
  <c r="C4" i="21" s="1"/>
  <c r="AM6" i="19"/>
  <c r="AK6" i="22"/>
  <c r="AT4" i="18"/>
  <c r="Z4" i="11"/>
  <c r="D4" i="11" s="1"/>
  <c r="C4" i="11" s="1"/>
  <c r="AH4" i="12"/>
  <c r="AH4" i="19"/>
  <c r="AT4" i="19"/>
  <c r="AM4" i="21"/>
  <c r="AH4" i="18"/>
  <c r="AT4" i="20"/>
  <c r="AH4" i="21"/>
  <c r="AL5" i="22"/>
  <c r="AK1" i="22"/>
  <c r="AK5" i="22"/>
  <c r="AK5" i="19"/>
  <c r="AL5" i="19"/>
  <c r="AM5" i="19"/>
  <c r="AM4" i="10"/>
  <c r="AH4" i="10"/>
  <c r="Z4" i="10"/>
  <c r="D4" i="10" s="1"/>
  <c r="B4" i="10" s="1"/>
  <c r="AT4" i="10"/>
  <c r="AM4" i="11"/>
  <c r="AT4" i="11"/>
  <c r="AG4" i="13"/>
  <c r="AF4" i="13" s="1"/>
  <c r="AG4" i="14"/>
  <c r="AF4" i="14" s="1"/>
  <c r="AG4" i="22"/>
  <c r="AF4" i="22" s="1"/>
  <c r="B4" i="14"/>
  <c r="C4" i="14"/>
  <c r="C4" i="13"/>
  <c r="B4" i="13"/>
  <c r="B20" i="8"/>
  <c r="B5" i="8" s="1"/>
  <c r="C20" i="8"/>
  <c r="C6" i="8" s="1"/>
  <c r="C4" i="12"/>
  <c r="B4" i="12"/>
  <c r="AG4" i="18"/>
  <c r="AF4" i="18" s="1"/>
  <c r="AN4" i="18" l="1"/>
  <c r="AN2" i="18" s="1"/>
  <c r="AO2" i="18" s="1"/>
  <c r="AP2" i="18" s="1"/>
  <c r="AQ2" i="18" s="1"/>
  <c r="AR2" i="18" s="1"/>
  <c r="AS2" i="18" s="1"/>
  <c r="AT2" i="18" s="1"/>
  <c r="AU2" i="18" s="1"/>
  <c r="AV2" i="18" s="1"/>
  <c r="AW2" i="18" s="1"/>
  <c r="AX4" i="18" s="1"/>
  <c r="AN4" i="19"/>
  <c r="AN2" i="19" s="1"/>
  <c r="AO2" i="19" s="1"/>
  <c r="AP2" i="19" s="1"/>
  <c r="AQ2" i="19" s="1"/>
  <c r="AR2" i="19" s="1"/>
  <c r="AS2" i="19" s="1"/>
  <c r="AT2" i="19" s="1"/>
  <c r="AU2" i="19" s="1"/>
  <c r="AV2" i="19" s="1"/>
  <c r="AW2" i="19" s="1"/>
  <c r="AX4" i="19" s="1"/>
  <c r="AN4" i="21"/>
  <c r="AN2" i="21" s="1"/>
  <c r="AO2" i="21" s="1"/>
  <c r="AP2" i="21" s="1"/>
  <c r="AQ2" i="21" s="1"/>
  <c r="AR2" i="21" s="1"/>
  <c r="AS2" i="21" s="1"/>
  <c r="AT2" i="21" s="1"/>
  <c r="AU2" i="21" s="1"/>
  <c r="AV2" i="21" s="1"/>
  <c r="AW2" i="21" s="1"/>
  <c r="AX4" i="21" s="1"/>
  <c r="AN4" i="22"/>
  <c r="AN2" i="22" s="1"/>
  <c r="AO2" i="22" s="1"/>
  <c r="AP2" i="22" s="1"/>
  <c r="AQ2" i="22" s="1"/>
  <c r="AR2" i="22" s="1"/>
  <c r="AS2" i="22" s="1"/>
  <c r="AT2" i="22" s="1"/>
  <c r="AU2" i="22" s="1"/>
  <c r="AV2" i="22" s="1"/>
  <c r="AW2" i="22" s="1"/>
  <c r="AX4" i="22" s="1"/>
  <c r="AN2" i="20"/>
  <c r="AO2" i="20" s="1"/>
  <c r="AP2" i="20" s="1"/>
  <c r="AQ2" i="20" s="1"/>
  <c r="AR2" i="20" s="1"/>
  <c r="AS2" i="20" s="1"/>
  <c r="AT2" i="20" s="1"/>
  <c r="AU2" i="20" s="1"/>
  <c r="AV2" i="20" s="1"/>
  <c r="AW2" i="20" s="1"/>
  <c r="AX4" i="20" s="1"/>
  <c r="AR5" i="8"/>
  <c r="AO5" i="8"/>
  <c r="AS5" i="8"/>
  <c r="AQ5" i="8"/>
  <c r="AP5" i="8"/>
  <c r="AS6" i="8"/>
  <c r="AO6" i="8"/>
  <c r="AP6" i="8"/>
  <c r="AR6" i="8"/>
  <c r="AQ6" i="8"/>
  <c r="AO2" i="11"/>
  <c r="AP2" i="11" s="1"/>
  <c r="AQ2" i="11" s="1"/>
  <c r="AR2" i="11" s="1"/>
  <c r="AS2" i="11" s="1"/>
  <c r="AT2" i="11" s="1"/>
  <c r="AU2" i="11" s="1"/>
  <c r="AV2" i="11" s="1"/>
  <c r="AW2" i="11" s="1"/>
  <c r="AX4" i="11" s="1"/>
  <c r="B4" i="15"/>
  <c r="C4" i="18"/>
  <c r="B4" i="19"/>
  <c r="B4" i="22"/>
  <c r="AO2" i="13"/>
  <c r="AP2" i="13" s="1"/>
  <c r="AQ2" i="13" s="1"/>
  <c r="AR2" i="13" s="1"/>
  <c r="AS2" i="13" s="1"/>
  <c r="AT2" i="13" s="1"/>
  <c r="AU2" i="13" s="1"/>
  <c r="AV2" i="13" s="1"/>
  <c r="AW2" i="13" s="1"/>
  <c r="AX4" i="13" s="1"/>
  <c r="AO2" i="12"/>
  <c r="AP2" i="12" s="1"/>
  <c r="AQ2" i="12" s="1"/>
  <c r="AR2" i="12" s="1"/>
  <c r="AS2" i="12" s="1"/>
  <c r="AT2" i="12" s="1"/>
  <c r="AU2" i="12" s="1"/>
  <c r="AV2" i="12" s="1"/>
  <c r="AW2" i="12" s="1"/>
  <c r="AX4" i="12" s="1"/>
  <c r="AO2" i="15"/>
  <c r="AP2" i="15" s="1"/>
  <c r="AQ2" i="15" s="1"/>
  <c r="AR2" i="15" s="1"/>
  <c r="AS2" i="15" s="1"/>
  <c r="AT2" i="15" s="1"/>
  <c r="AU2" i="15" s="1"/>
  <c r="AV2" i="15" s="1"/>
  <c r="AW2" i="15" s="1"/>
  <c r="AX4" i="15" s="1"/>
  <c r="C4" i="20"/>
  <c r="AO2" i="14"/>
  <c r="AP2" i="14" s="1"/>
  <c r="AQ2" i="14" s="1"/>
  <c r="AR2" i="14" s="1"/>
  <c r="AS2" i="14" s="1"/>
  <c r="AT2" i="14" s="1"/>
  <c r="AU2" i="14" s="1"/>
  <c r="AV2" i="14" s="1"/>
  <c r="AW2" i="14" s="1"/>
  <c r="AX4" i="14" s="1"/>
  <c r="B4" i="11"/>
  <c r="AM4" i="19"/>
  <c r="B4" i="21"/>
  <c r="C4" i="10"/>
  <c r="AO2" i="10"/>
  <c r="AP2" i="10" s="1"/>
  <c r="AQ2" i="10" s="1"/>
  <c r="AR2" i="10" s="1"/>
  <c r="AS2" i="10" s="1"/>
  <c r="AT2" i="10" s="1"/>
  <c r="AU2" i="10" s="1"/>
  <c r="AV2" i="10" s="1"/>
  <c r="AW2" i="10" s="1"/>
  <c r="AX4" i="10" s="1"/>
  <c r="AC6" i="8"/>
  <c r="G6" i="8"/>
  <c r="Q6" i="8"/>
  <c r="S6" i="8"/>
  <c r="AG6" i="8"/>
  <c r="M6" i="8"/>
  <c r="AD6" i="8"/>
  <c r="W6" i="8"/>
  <c r="AA6" i="8"/>
  <c r="O6" i="8"/>
  <c r="AI6" i="8"/>
  <c r="Y6" i="8"/>
  <c r="P6" i="8"/>
  <c r="Z6" i="8"/>
  <c r="H6" i="8"/>
  <c r="D6" i="8"/>
  <c r="T6" i="8"/>
  <c r="V6" i="8"/>
  <c r="AT6" i="8"/>
  <c r="AW6" i="8"/>
  <c r="K6" i="8"/>
  <c r="AM6" i="8"/>
  <c r="X6" i="8"/>
  <c r="E6" i="8"/>
  <c r="F6" i="8"/>
  <c r="AB6" i="8"/>
  <c r="L6" i="8"/>
  <c r="AH6" i="8"/>
  <c r="AJ6" i="8"/>
  <c r="R6" i="8"/>
  <c r="N6" i="8"/>
  <c r="AU6" i="8"/>
  <c r="I6" i="8"/>
  <c r="AE6" i="8"/>
  <c r="AV6" i="8"/>
  <c r="AF6" i="8"/>
  <c r="J6" i="8"/>
  <c r="U6" i="8"/>
  <c r="N5" i="8"/>
  <c r="J5" i="8"/>
  <c r="E5" i="8"/>
  <c r="P5" i="8"/>
  <c r="AE5" i="8"/>
  <c r="AH5" i="8"/>
  <c r="AM5" i="8"/>
  <c r="AW5" i="8"/>
  <c r="Z5" i="8"/>
  <c r="AJ5" i="8"/>
  <c r="AL1" i="8" s="1"/>
  <c r="Q5" i="8"/>
  <c r="T5" i="8"/>
  <c r="G5" i="8"/>
  <c r="AV5" i="8"/>
  <c r="AB5" i="8"/>
  <c r="L5" i="8"/>
  <c r="AC5" i="8"/>
  <c r="AG5" i="8"/>
  <c r="F5" i="8"/>
  <c r="AU5" i="8"/>
  <c r="D5" i="8"/>
  <c r="V5" i="8"/>
  <c r="R5" i="8"/>
  <c r="AD5" i="8"/>
  <c r="Y5" i="8"/>
  <c r="AT5" i="8"/>
  <c r="S5" i="8"/>
  <c r="I5" i="8"/>
  <c r="M5" i="8"/>
  <c r="X5" i="8"/>
  <c r="W5" i="8"/>
  <c r="AA5" i="8"/>
  <c r="K5" i="8"/>
  <c r="O5" i="8"/>
  <c r="U5" i="8"/>
  <c r="H5" i="8"/>
  <c r="AI5" i="8"/>
  <c r="AF5" i="8"/>
  <c r="AP4" i="8" l="1"/>
  <c r="AR4" i="8"/>
  <c r="AQ4" i="8"/>
  <c r="AO4" i="8"/>
  <c r="AS4" i="8"/>
  <c r="AG4" i="8"/>
  <c r="AG4" i="21" s="1"/>
  <c r="AF4" i="21" s="1"/>
  <c r="AK5" i="8"/>
  <c r="AL5" i="8"/>
  <c r="AK1" i="8"/>
  <c r="AK6" i="8"/>
  <c r="AL6" i="8"/>
  <c r="AT4" i="8"/>
  <c r="AH4" i="8"/>
  <c r="Z4" i="8"/>
  <c r="D4" i="8" s="1"/>
  <c r="B4" i="8" s="1"/>
  <c r="AM4" i="8"/>
  <c r="AN4" i="8" l="1"/>
  <c r="AN2" i="8" s="1"/>
  <c r="AO2" i="8" s="1"/>
  <c r="AP2" i="8" s="1"/>
  <c r="AQ2" i="8" s="1"/>
  <c r="AR2" i="8" s="1"/>
  <c r="AS2" i="8" s="1"/>
  <c r="AT2" i="8" s="1"/>
  <c r="AU2" i="8" s="1"/>
  <c r="AV2" i="8" s="1"/>
  <c r="AW2" i="8" s="1"/>
  <c r="AX4" i="8" s="1"/>
  <c r="AF4" i="8"/>
  <c r="AG4" i="20"/>
  <c r="AF4" i="20" s="1"/>
  <c r="AG4" i="19"/>
  <c r="AF4" i="19" s="1"/>
  <c r="AG4" i="10"/>
  <c r="AF4" i="10" s="1"/>
  <c r="AG4" i="12"/>
  <c r="AF4" i="12" s="1"/>
  <c r="AG4" i="11"/>
  <c r="AF4" i="11" s="1"/>
  <c r="C4" i="8"/>
  <c r="L4" i="2"/>
  <c r="B26" i="1" l="1"/>
  <c r="L5" i="2"/>
  <c r="C26" i="1"/>
  <c r="S26" i="1" l="1"/>
  <c r="L6" i="2"/>
  <c r="F26" i="1"/>
  <c r="R26" i="1"/>
  <c r="L7" i="2"/>
  <c r="L8" i="2" l="1"/>
  <c r="L9" i="2"/>
  <c r="L10" i="2" s="1"/>
  <c r="L11" i="2" s="1"/>
  <c r="L12" i="2" s="1"/>
  <c r="L13" i="2" s="1"/>
  <c r="L14" i="2" l="1"/>
  <c r="L15" i="2" l="1"/>
  <c r="L16" i="2" l="1"/>
  <c r="B33" i="1" l="1"/>
  <c r="B31" i="1"/>
  <c r="B28" i="1"/>
  <c r="B34" i="1"/>
  <c r="B36" i="1"/>
  <c r="B37" i="1"/>
  <c r="B35" i="1"/>
  <c r="B30" i="1"/>
  <c r="B32" i="1"/>
  <c r="B38" i="1"/>
  <c r="B27" i="1"/>
  <c r="B29" i="1"/>
  <c r="F35" i="1" l="1"/>
  <c r="C35" i="1"/>
  <c r="R35" i="1"/>
  <c r="C30" i="1"/>
  <c r="R30" i="1"/>
  <c r="F30" i="1"/>
  <c r="R27" i="1"/>
  <c r="C27" i="1"/>
  <c r="S27" i="1" s="1"/>
  <c r="F27" i="1"/>
  <c r="R37" i="1"/>
  <c r="C37" i="1" s="1"/>
  <c r="F37" i="1"/>
  <c r="R29" i="1"/>
  <c r="C29" i="1"/>
  <c r="F29" i="1"/>
  <c r="C31" i="1"/>
  <c r="F31" i="1"/>
  <c r="R31" i="1"/>
  <c r="F36" i="1"/>
  <c r="R36" i="1"/>
  <c r="C36" i="1" s="1"/>
  <c r="R34" i="1"/>
  <c r="F34" i="1"/>
  <c r="C34" i="1"/>
  <c r="R28" i="1"/>
  <c r="C28" i="1"/>
  <c r="F28" i="1"/>
  <c r="R38" i="1"/>
  <c r="C38" i="1"/>
  <c r="F38" i="1"/>
  <c r="R32" i="1"/>
  <c r="C32" i="1"/>
  <c r="F32" i="1"/>
  <c r="R33" i="1"/>
  <c r="F33" i="1"/>
  <c r="C33" i="1"/>
  <c r="S28" i="1" l="1"/>
  <c r="S29" i="1" s="1"/>
  <c r="S30" i="1" s="1"/>
  <c r="S31" i="1" s="1"/>
  <c r="S32" i="1" s="1"/>
  <c r="S33" i="1" s="1"/>
  <c r="S34" i="1" s="1"/>
  <c r="S35" i="1" s="1"/>
  <c r="S36" i="1" s="1"/>
  <c r="S37" i="1" s="1"/>
  <c r="S38" i="1" s="1"/>
  <c r="M3" i="1" s="1"/>
</calcChain>
</file>

<file path=xl/comments1.xml><?xml version="1.0" encoding="utf-8"?>
<comments xmlns="http://schemas.openxmlformats.org/spreadsheetml/2006/main">
  <authors>
    <author>Burgers, Wim (WVL)</author>
    <author>Opmerking</author>
  </authors>
  <commentList>
    <comment ref="M3" authorId="0" shapeId="0">
      <text>
        <r>
          <rPr>
            <b/>
            <sz val="9"/>
            <color indexed="81"/>
            <rFont val="Tahoma"/>
            <family val="2"/>
          </rPr>
          <t xml:space="preserve">Opmerking:
</t>
        </r>
        <r>
          <rPr>
            <sz val="9"/>
            <color indexed="81"/>
            <rFont val="Tahoma"/>
            <family val="2"/>
          </rPr>
          <t>Dit zijn de algemene eisen, mogelijk geldt er nog overgangsrecht of is maatwerk toegestaan. Lees daarover vanaf regel 26.</t>
        </r>
      </text>
    </comment>
    <comment ref="F5" authorId="0" shapeId="0">
      <text>
        <r>
          <rPr>
            <b/>
            <sz val="9"/>
            <color indexed="81"/>
            <rFont val="Tahoma"/>
            <family val="2"/>
          </rPr>
          <t xml:space="preserve">Opmerking:
</t>
        </r>
        <r>
          <rPr>
            <sz val="9"/>
            <color indexed="81"/>
            <rFont val="Tahoma"/>
            <family val="2"/>
          </rPr>
          <t>Als u hier de identificatie invult, ziet u in cel M3 een samenvatting van de algemene eisen, mogelijk geldt er nog overgangsrecht of is maatwerk toegestaan. Lees daarover vanaf regel 26.</t>
        </r>
      </text>
    </comment>
    <comment ref="B19" authorId="1" shapeId="0">
      <text>
        <r>
          <rPr>
            <b/>
            <sz val="9"/>
            <color indexed="81"/>
            <rFont val="Tahoma"/>
            <charset val="1"/>
          </rPr>
          <t>Opmerking:</t>
        </r>
        <r>
          <rPr>
            <sz val="9"/>
            <color indexed="81"/>
            <rFont val="Tahoma"/>
            <charset val="1"/>
          </rPr>
          <t xml:space="preserve">
In tegenstelling tot het Activiteitenbesluit is in het BAL scherper en soepeler maatwerk in principe altijd toegestaan. Dat noemen we generiek maatwerk. Soepeler maatwerk is niet toegestaan als het expliciet is uitgesloten.</t>
        </r>
      </text>
    </comment>
    <comment ref="D25" authorId="1" shapeId="0">
      <text>
        <r>
          <rPr>
            <b/>
            <sz val="9"/>
            <color indexed="81"/>
            <rFont val="Tahoma"/>
            <charset val="1"/>
          </rPr>
          <t>Opmerking:</t>
        </r>
        <r>
          <rPr>
            <sz val="9"/>
            <color indexed="81"/>
            <rFont val="Tahoma"/>
            <charset val="1"/>
          </rPr>
          <t xml:space="preserve">
Als de schuifbalk helemaal links staat, worden de huidige emissie-eisen gegeven. Met de schuifbalk kunnen de eisen vanaf 1-1-2022 zichtbaar gemaakt worden.</t>
        </r>
      </text>
    </comment>
  </commentList>
</comments>
</file>

<file path=xl/comments10.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1.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2.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3.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4.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5.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6.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2.xml><?xml version="1.0" encoding="utf-8"?>
<comments xmlns="http://schemas.openxmlformats.org/spreadsheetml/2006/main">
  <authors>
    <author>Opmerking</author>
  </authors>
  <commentList>
    <comment ref="G2" authorId="0" shapeId="0">
      <text>
        <r>
          <rPr>
            <sz val="9"/>
            <color indexed="81"/>
            <rFont val="Tahoma"/>
            <family val="2"/>
          </rPr>
          <t>Dit zijn de data die voor de pull down voor ingebruikname gebruikt gaan worden (kolom O..Q)</t>
        </r>
      </text>
    </comment>
  </commentList>
</comments>
</file>

<file path=xl/comments3.xml><?xml version="1.0" encoding="utf-8"?>
<comments xmlns="http://schemas.openxmlformats.org/spreadsheetml/2006/main">
  <authors>
    <author>Wim</author>
  </authors>
  <commentList>
    <comment ref="AO1" authorId="0" shapeId="0">
      <text>
        <r>
          <rPr>
            <sz val="9"/>
            <color indexed="81"/>
            <rFont val="Tahoma"/>
            <family val="2"/>
          </rPr>
          <t>Hier is met een kleur aangeven welke gelijk zijn. De donkere kleur is de werkelijke tekst en de lichte kleur verwijzingen.</t>
        </r>
      </text>
    </comment>
  </commentList>
</comments>
</file>

<file path=xl/comments4.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5.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6.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7.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8.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9.xml><?xml version="1.0" encoding="utf-8"?>
<comments xmlns="http://schemas.openxmlformats.org/spreadsheetml/2006/main">
  <authors>
    <author>Opmerking</author>
  </authors>
  <commentList>
    <comment ref="A1" authorId="0" shapeId="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text>
        <r>
          <rPr>
            <sz val="9"/>
            <color indexed="81"/>
            <rFont val="Tahoma"/>
            <charset val="1"/>
          </rPr>
          <t xml:space="preserve">Deze tekst komt direct achter de eis voor brandstof1 en/of brandstof2 </t>
        </r>
      </text>
    </comment>
    <comment ref="AM3" authorId="0" shapeId="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sharedStrings.xml><?xml version="1.0" encoding="utf-8"?>
<sst xmlns="http://schemas.openxmlformats.org/spreadsheetml/2006/main" count="2614" uniqueCount="544">
  <si>
    <t>Type stookinstallatie</t>
  </si>
  <si>
    <t xml:space="preserve"> </t>
  </si>
  <si>
    <t>Geldigheid</t>
  </si>
  <si>
    <t>Parameter</t>
  </si>
  <si>
    <t>Waarde</t>
  </si>
  <si>
    <t>Omschrijving</t>
  </si>
  <si>
    <t>Versie</t>
  </si>
  <si>
    <t>Geldig</t>
  </si>
  <si>
    <t>SI</t>
  </si>
  <si>
    <t>Stookinstallatie</t>
  </si>
  <si>
    <t>TSI</t>
  </si>
  <si>
    <t>MW</t>
  </si>
  <si>
    <t>Type</t>
  </si>
  <si>
    <t>Nominaal thermisch ingangsvermogen</t>
  </si>
  <si>
    <t>Primaire brandstof</t>
  </si>
  <si>
    <t>Bedrijfstijd</t>
  </si>
  <si>
    <t>Brandstof 1</t>
  </si>
  <si>
    <t>BRAND1</t>
  </si>
  <si>
    <t>Type Brand1</t>
  </si>
  <si>
    <t>TBRAND1</t>
  </si>
  <si>
    <t>O2BRAND1</t>
  </si>
  <si>
    <t>ABRAND2</t>
  </si>
  <si>
    <t>Brandstof 2</t>
  </si>
  <si>
    <t>BRAND2</t>
  </si>
  <si>
    <t>TBRAND2</t>
  </si>
  <si>
    <t>O2BRAND2</t>
  </si>
  <si>
    <t>Selectiecriteria</t>
  </si>
  <si>
    <t>stookinst</t>
  </si>
  <si>
    <t>thverm</t>
  </si>
  <si>
    <t>brandstof 1</t>
  </si>
  <si>
    <t>brandstof 2</t>
  </si>
  <si>
    <t>standaard</t>
  </si>
  <si>
    <t>Regelgeving</t>
  </si>
  <si>
    <t>niet-standaard</t>
  </si>
  <si>
    <t>niet-afval</t>
  </si>
  <si>
    <t>SPECSI</t>
  </si>
  <si>
    <t>Keuring</t>
  </si>
  <si>
    <t>Resultaat</t>
  </si>
  <si>
    <t>Alle opmerkingen</t>
  </si>
  <si>
    <t>4.4</t>
  </si>
  <si>
    <t>4.3</t>
  </si>
  <si>
    <t>5.4.4</t>
  </si>
  <si>
    <t>ParBAL2</t>
  </si>
  <si>
    <t>ParBAL1</t>
  </si>
  <si>
    <t>&gt; 40% gevaarlijk afval</t>
  </si>
  <si>
    <t>afvalvernietiging</t>
  </si>
  <si>
    <t>energieopwekking uit afval</t>
  </si>
  <si>
    <t>Identificatie</t>
  </si>
  <si>
    <t>Afvalverbrandingsinstallatie</t>
  </si>
  <si>
    <t>Afvalmeeverbrandingsinstallatie</t>
  </si>
  <si>
    <t>Doel afvalverbranding</t>
  </si>
  <si>
    <t>Doel</t>
  </si>
  <si>
    <t>500-uursregeling</t>
  </si>
  <si>
    <t>BT500uur</t>
  </si>
  <si>
    <t>Energie-aandeel secundaire brandstof (%)</t>
  </si>
  <si>
    <t>bijzonder middelgroot</t>
  </si>
  <si>
    <t>bijzonder groot</t>
  </si>
  <si>
    <t>dieselmotor middelgroot</t>
  </si>
  <si>
    <t>dieselmotor klein</t>
  </si>
  <si>
    <t>dieselmotor midddelgroot</t>
  </si>
  <si>
    <t>overig standaard middelgroot</t>
  </si>
  <si>
    <t>overig standaard klein</t>
  </si>
  <si>
    <t>niet-standaard klein</t>
  </si>
  <si>
    <t>niet-standaard middelgroot</t>
  </si>
  <si>
    <t>beschrijving in werkblad eisen</t>
  </si>
  <si>
    <t>bijzonder klein</t>
  </si>
  <si>
    <t>niet standaard</t>
  </si>
  <si>
    <t>Afvalverbrandingsinstallaties gestookt op meer dan 40% gevaarlijk afval</t>
  </si>
  <si>
    <t>TMW</t>
  </si>
  <si>
    <t>500-uursreg</t>
  </si>
  <si>
    <t>nee</t>
  </si>
  <si>
    <t>nvt</t>
  </si>
  <si>
    <t>Toelichting</t>
  </si>
  <si>
    <t>ja</t>
  </si>
  <si>
    <t>Keuringsverplichting</t>
  </si>
  <si>
    <t>Offshore</t>
  </si>
  <si>
    <t>Ingebruikname</t>
  </si>
  <si>
    <t>DM/GM/GT; groot niet in offshore</t>
  </si>
  <si>
    <t>INGVAN</t>
  </si>
  <si>
    <t>INGTOT</t>
  </si>
  <si>
    <t>Vergunningplichtig</t>
  </si>
  <si>
    <t>Maatwerk</t>
  </si>
  <si>
    <t>vergunningplicht</t>
  </si>
  <si>
    <t>Vergunningplicht</t>
  </si>
  <si>
    <t>keuring</t>
  </si>
  <si>
    <t>maatwerk</t>
  </si>
  <si>
    <t>samenstelregel</t>
  </si>
  <si>
    <t>Samenstelregel</t>
  </si>
  <si>
    <t>§4.4 kent geen samenstelregel</t>
  </si>
  <si>
    <t>§4.4 kent geen 500-uursregeling</t>
  </si>
  <si>
    <t>ParBAL</t>
  </si>
  <si>
    <t xml:space="preserve">Tdatum </t>
  </si>
  <si>
    <t>Testdatum</t>
  </si>
  <si>
    <t>Bestaand klein</t>
  </si>
  <si>
    <t>Emissie-eisen MCPD van toepassing</t>
  </si>
  <si>
    <t>Einde overgangstermijn biomassa klein</t>
  </si>
  <si>
    <t>Einde overgangstermijn LCPs</t>
  </si>
  <si>
    <t>Datum IWT BAL</t>
  </si>
  <si>
    <t>IWTBAL</t>
  </si>
  <si>
    <t>IWTMCP</t>
  </si>
  <si>
    <t>IWTLCP</t>
  </si>
  <si>
    <t>IWTMCPbest</t>
  </si>
  <si>
    <t>Nominaal thermisch ingangsvermogen (MWth)</t>
  </si>
  <si>
    <t>IWTLCPbest</t>
  </si>
  <si>
    <t>IWTBALtxt</t>
  </si>
  <si>
    <t>4.127</t>
  </si>
  <si>
    <t>4.126</t>
  </si>
  <si>
    <t>stookinstallatie</t>
  </si>
  <si>
    <t>datum ingebruikname</t>
  </si>
  <si>
    <t>overig standaard groot, niet offshore</t>
  </si>
  <si>
    <t>niet-standaard groot, niet offshore</t>
  </si>
  <si>
    <t>niet-bijzonder groot offshore</t>
  </si>
  <si>
    <t>er is een mijnbouwvergunning nodig</t>
  </si>
  <si>
    <t>§5.4.4 kent geen 500-uursregeling, maar wel een ondergrens in de jaarvracht (zie art. 5.30 2e lid)</t>
  </si>
  <si>
    <t>Eis van toepassing</t>
  </si>
  <si>
    <t>Generiek maatwerk</t>
  </si>
  <si>
    <t>maatwerk moet wel BBT zijn</t>
  </si>
  <si>
    <t>Afvalmeeverbrandingsinstallatie met als hoofddoel het vernietigen van afval</t>
  </si>
  <si>
    <t>eis van toepassing</t>
  </si>
  <si>
    <t>Paragraaf BAL brandstof 1</t>
  </si>
  <si>
    <t>Paragraaf BAL brandstof 2</t>
  </si>
  <si>
    <t>4.73</t>
  </si>
  <si>
    <t>100</t>
  </si>
  <si>
    <t>4.74</t>
  </si>
  <si>
    <t>4.103c</t>
  </si>
  <si>
    <t>180</t>
  </si>
  <si>
    <r>
      <t>mg/Nm</t>
    </r>
    <r>
      <rPr>
        <sz val="8"/>
        <color theme="1"/>
        <rFont val="Verdana"/>
        <family val="2"/>
      </rPr>
      <t>³</t>
    </r>
  </si>
  <si>
    <t>70</t>
  </si>
  <si>
    <t>Afvalverbranding in cementoven</t>
  </si>
  <si>
    <t>500</t>
  </si>
  <si>
    <t>4.77</t>
  </si>
  <si>
    <t>Meetonzekerheid</t>
  </si>
  <si>
    <t>De aangetoonde meetonzekerheid mag niet groter zijn dan 20% van de emissie-eis of 14 mg/Nm3 (art. 4.88).</t>
  </si>
  <si>
    <t>Toetsing</t>
  </si>
  <si>
    <t>totaal</t>
  </si>
  <si>
    <t>Luchtparagraaf (§5.4.4)</t>
  </si>
  <si>
    <t>luchtparagraaf</t>
  </si>
  <si>
    <t>ZZS-paragraaf</t>
  </si>
  <si>
    <t>stookinstallatie valt al onder de luchtparagraaf (§5.4.4)</t>
  </si>
  <si>
    <t>Belangrijke datums</t>
  </si>
  <si>
    <t>Bestaand LCP/WI</t>
  </si>
  <si>
    <t>Huidige einde overgangstermijn MCP</t>
  </si>
  <si>
    <t>Belangrijke datums voor datum inbedrijfname</t>
  </si>
  <si>
    <t>idem als txt</t>
  </si>
  <si>
    <t>de luchtparagraaf is van kracht, zie art 3.6</t>
  </si>
  <si>
    <t>de ZZS-paragraaf is van kracht, zie art 3.6</t>
  </si>
  <si>
    <t>de stookinstallatie is vergunningplichtig, zie art 3.88 of art 3.40e</t>
  </si>
  <si>
    <t>alleen specifiek maatwerk mogelijk, zie art. 4.65</t>
  </si>
  <si>
    <t>de luchtparagraaf is van kracht, zie art 3.89 of art 3.40f</t>
  </si>
  <si>
    <t>de ZZS-paragraaf is van kracht, zie art 3.89 of art 3.40f</t>
  </si>
  <si>
    <t>de stookinstallatie is vergunningplichtig, zie art 3.55</t>
  </si>
  <si>
    <t>de ZZS-paragraaf is van kracht, zie art 3.56</t>
  </si>
  <si>
    <t>installatie is mogelijk een samenstel van stookinstallaties; er geldt een samenstelregel vanaf 15 MWth, zie art. 4.29 2e lid</t>
  </si>
  <si>
    <t>alleen specifiek maatwerk mogelijk, zie art. 4.31</t>
  </si>
  <si>
    <t>de luchtparagraaf is van kracht, zie art 3.56</t>
  </si>
  <si>
    <t>Tdatumtxt</t>
  </si>
  <si>
    <t>Testdatum offset</t>
  </si>
  <si>
    <t>Gasturbine</t>
  </si>
  <si>
    <t>vloeibare brandstof</t>
  </si>
  <si>
    <t>4.36</t>
  </si>
  <si>
    <t>50</t>
  </si>
  <si>
    <t>60</t>
  </si>
  <si>
    <t>80</t>
  </si>
  <si>
    <t>120</t>
  </si>
  <si>
    <t>150</t>
  </si>
  <si>
    <t>O2-ref uit uit deze kolom of blad werkblad data</t>
  </si>
  <si>
    <t>FBRAND1</t>
  </si>
  <si>
    <t>FBRAND2</t>
  </si>
  <si>
    <t>bestaande stookinstallatie; geen GT</t>
  </si>
  <si>
    <t>IPPCbest</t>
  </si>
  <si>
    <t>eigen niet-commercieel vloeibaar</t>
  </si>
  <si>
    <t>vaste brandstof</t>
  </si>
  <si>
    <t>andere grote stookinstallatie</t>
  </si>
  <si>
    <t>vloeibaar</t>
  </si>
  <si>
    <t>85</t>
  </si>
  <si>
    <t>Bestaande gasturbine</t>
  </si>
  <si>
    <t>35</t>
  </si>
  <si>
    <t>4.37</t>
  </si>
  <si>
    <t>gasvormig</t>
  </si>
  <si>
    <t>33</t>
  </si>
  <si>
    <t>aardgas</t>
  </si>
  <si>
    <t>andere bestaande grote stookinstallatie</t>
  </si>
  <si>
    <t>gasv min aardgas</t>
  </si>
  <si>
    <t>Specifiek maatwerk</t>
  </si>
  <si>
    <t>Betreft het een eis aan een nieuwe stof?</t>
  </si>
  <si>
    <t>g</t>
  </si>
  <si>
    <t>l</t>
  </si>
  <si>
    <t>s</t>
  </si>
  <si>
    <t>Gasmotor/dualfuel</t>
  </si>
  <si>
    <t>Standaard formules of Info werkblad eisen</t>
  </si>
  <si>
    <t>Periode in bedrijfname in regelgeving</t>
  </si>
  <si>
    <t>De aangetoonde meetonzekerheid mag niet groter zijn dan 20% van de emissie-eis (art. 4.48).</t>
  </si>
  <si>
    <t>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t>
  </si>
  <si>
    <r>
      <t xml:space="preserve">
</t>
    </r>
    <r>
      <rPr>
        <b/>
        <sz val="8"/>
        <color theme="1"/>
        <rFont val="Arial"/>
        <family val="2"/>
      </rPr>
      <t xml:space="preserve">brandstof </t>
    </r>
    <r>
      <rPr>
        <sz val="8"/>
        <color theme="1"/>
        <rFont val="Arial"/>
        <family val="2"/>
      </rPr>
      <t xml:space="preserve">
(relevante inputparameters: BRAND1/BRAND2, TBRAND1/TBRAND2, FBRAND1/FBRAND2 en ABRAND2)</t>
    </r>
  </si>
  <si>
    <r>
      <rPr>
        <b/>
        <sz val="8"/>
        <color theme="1"/>
        <rFont val="Arial"/>
        <family val="2"/>
      </rPr>
      <t xml:space="preserve">stookinstallatie </t>
    </r>
    <r>
      <rPr>
        <sz val="8"/>
        <color theme="1"/>
        <rFont val="Arial"/>
        <family val="2"/>
      </rPr>
      <t xml:space="preserve">
(relevante invoer parameters: SI en TSI)</t>
    </r>
  </si>
  <si>
    <r>
      <rPr>
        <b/>
        <sz val="8"/>
        <color rgb="FFFF0000"/>
        <rFont val="Arial"/>
        <family val="2"/>
      </rPr>
      <t>Witte</t>
    </r>
    <r>
      <rPr>
        <sz val="8"/>
        <color rgb="FFFF0000"/>
        <rFont val="Arial"/>
        <family val="2"/>
      </rPr>
      <t xml:space="preserve"> cellen zijn invoercellen. 
</t>
    </r>
    <r>
      <rPr>
        <b/>
        <sz val="8"/>
        <color rgb="FFFF0000"/>
        <rFont val="Arial"/>
        <family val="2"/>
      </rPr>
      <t>Licht grijze</t>
    </r>
    <r>
      <rPr>
        <sz val="8"/>
        <color rgb="FFFF0000"/>
        <rFont val="Arial"/>
        <family val="2"/>
      </rPr>
      <t xml:space="preserve"> cellen zijn informatiecellen. 
</t>
    </r>
    <r>
      <rPr>
        <b/>
        <sz val="8"/>
        <color rgb="FFFF0000"/>
        <rFont val="Arial"/>
        <family val="2"/>
      </rPr>
      <t>Donker grijze</t>
    </r>
    <r>
      <rPr>
        <sz val="8"/>
        <color rgb="FFFF0000"/>
        <rFont val="Arial"/>
        <family val="2"/>
      </rPr>
      <t xml:space="preserve"> cellen zijn berekende waarden die essentieel zijn voor de werking van BALees. 
</t>
    </r>
    <r>
      <rPr>
        <b/>
        <sz val="8"/>
        <color rgb="FFFF0000"/>
        <rFont val="Arial"/>
        <family val="2"/>
      </rPr>
      <t>Blauw gestippelde</t>
    </r>
    <r>
      <rPr>
        <sz val="8"/>
        <color rgb="FFFF0000"/>
        <rFont val="Arial"/>
        <family val="2"/>
      </rPr>
      <t xml:space="preserve"> cellen bevatten standaard formules die in de betreffende kolom gebruikt kunnen worden.</t>
    </r>
  </si>
  <si>
    <r>
      <rPr>
        <b/>
        <sz val="8"/>
        <color theme="1"/>
        <rFont val="Arial"/>
        <family val="2"/>
      </rPr>
      <t>MWth vanaf</t>
    </r>
    <r>
      <rPr>
        <sz val="8"/>
        <color theme="1"/>
        <rFont val="Arial"/>
        <family val="2"/>
      </rPr>
      <t xml:space="preserve">
(Relevante inputparameter: MW)</t>
    </r>
  </si>
  <si>
    <r>
      <rPr>
        <b/>
        <sz val="8"/>
        <color theme="1"/>
        <rFont val="Arial"/>
        <family val="2"/>
      </rPr>
      <t>MWth tot</t>
    </r>
    <r>
      <rPr>
        <sz val="8"/>
        <color theme="1"/>
        <rFont val="Arial"/>
        <family val="2"/>
      </rPr>
      <t xml:space="preserve">
(Relevante inputparameter: MW)</t>
    </r>
  </si>
  <si>
    <r>
      <rPr>
        <b/>
        <sz val="8"/>
        <color theme="1"/>
        <rFont val="Arial"/>
        <family val="2"/>
      </rPr>
      <t>vanaf</t>
    </r>
    <r>
      <rPr>
        <sz val="8"/>
        <color theme="1"/>
        <rFont val="Arial"/>
        <family val="2"/>
      </rPr>
      <t xml:space="preserve">
(relevante invoer parameters: INGVAN en INGTOT)</t>
    </r>
  </si>
  <si>
    <r>
      <rPr>
        <b/>
        <sz val="8"/>
        <color theme="1"/>
        <rFont val="Arial"/>
        <family val="2"/>
      </rPr>
      <t>t/m</t>
    </r>
    <r>
      <rPr>
        <sz val="8"/>
        <color theme="1"/>
        <rFont val="Arial"/>
        <family val="2"/>
      </rPr>
      <t xml:space="preserve">
(relevante invoer parameters: INGVAN en INGTOT)</t>
    </r>
  </si>
  <si>
    <r>
      <rPr>
        <b/>
        <sz val="8"/>
        <color theme="1"/>
        <rFont val="Arial"/>
        <family val="2"/>
      </rPr>
      <t>Paragraaf BAL</t>
    </r>
    <r>
      <rPr>
        <sz val="8"/>
        <color theme="1"/>
        <rFont val="Arial"/>
        <family val="2"/>
      </rPr>
      <t xml:space="preserve">
(relevante invoer parameters: PARBAL1 en PARBAL2)</t>
    </r>
  </si>
  <si>
    <r>
      <rPr>
        <b/>
        <sz val="8"/>
        <color theme="1"/>
        <rFont val="Arial"/>
        <family val="2"/>
      </rPr>
      <t>vanaf</t>
    </r>
    <r>
      <rPr>
        <sz val="8"/>
        <color theme="1"/>
        <rFont val="Arial"/>
        <family val="2"/>
      </rPr>
      <t xml:space="preserve">
(relevante invoer parameters: Tdatum)</t>
    </r>
  </si>
  <si>
    <r>
      <rPr>
        <b/>
        <sz val="8"/>
        <color theme="1"/>
        <rFont val="Arial"/>
        <family val="2"/>
      </rPr>
      <t>t/m</t>
    </r>
    <r>
      <rPr>
        <sz val="8"/>
        <color theme="1"/>
        <rFont val="Arial"/>
        <family val="2"/>
      </rPr>
      <t xml:space="preserve">
(relevante invoer parameters: Tdatum)</t>
    </r>
  </si>
  <si>
    <r>
      <rPr>
        <b/>
        <sz val="8"/>
        <color rgb="FFFF0000"/>
        <rFont val="Arial"/>
        <family val="2"/>
      </rPr>
      <t>Witte</t>
    </r>
    <r>
      <rPr>
        <sz val="8"/>
        <color rgb="FFFF0000"/>
        <rFont val="Arial"/>
        <family val="2"/>
      </rPr>
      <t xml:space="preserve"> cellen zijn invoercellen. 
</t>
    </r>
    <r>
      <rPr>
        <b/>
        <sz val="8"/>
        <color rgb="FFFF0000"/>
        <rFont val="Arial"/>
        <family val="2"/>
      </rPr>
      <t>Licht grijze</t>
    </r>
    <r>
      <rPr>
        <sz val="8"/>
        <color rgb="FFFF0000"/>
        <rFont val="Arial"/>
        <family val="2"/>
      </rPr>
      <t xml:space="preserve"> cellen zijn informatiecellen. 
</t>
    </r>
    <r>
      <rPr>
        <b/>
        <sz val="8"/>
        <color rgb="FFFF0000"/>
        <rFont val="Arial"/>
        <family val="2"/>
      </rPr>
      <t>Donker grijze</t>
    </r>
    <r>
      <rPr>
        <sz val="8"/>
        <color rgb="FFFF0000"/>
        <rFont val="Arial"/>
        <family val="2"/>
      </rPr>
      <t xml:space="preserve"> cellen zijn berekende waarden die essentieel zijn voor de werking van BALees. 
</t>
    </r>
    <r>
      <rPr>
        <b/>
        <sz val="8"/>
        <color rgb="FFFF0000"/>
        <rFont val="Arial"/>
        <family val="2"/>
      </rPr>
      <t/>
    </r>
  </si>
  <si>
    <t>ketel</t>
  </si>
  <si>
    <t>4.1303</t>
  </si>
  <si>
    <t>Rie-biomassa</t>
  </si>
  <si>
    <t>300</t>
  </si>
  <si>
    <t>vloeibaar min Riebiomassa</t>
  </si>
  <si>
    <t>Toelichting op maatwerk</t>
  </si>
  <si>
    <t xml:space="preserve"> bij bedrijfstijd minder dan 1500 u/j.</t>
  </si>
  <si>
    <t>, mits binnen de grenzen van het uitvoeringsbesluit grote stookinstallaties.</t>
  </si>
  <si>
    <t>De installatie voldoet aan de gestelde emissie-eis als alle gevalideerde maandgemiddelden lager zijn dan de emissie-eis,  alle daggegemiddelde lager zijn dan 110% van de emissie-eis en 95% van de valideerde uurgemiddelden lager dan 200% van de emissie-eis. Een gevalideerd gemiddelde is het gemiddelde nadat de aangetoonde meetonzekerheid in mindering is gebracht.</t>
  </si>
  <si>
    <t>275</t>
  </si>
  <si>
    <t>145</t>
  </si>
  <si>
    <t>vergistingsgas</t>
  </si>
  <si>
    <t>Bestaand middelgroot</t>
  </si>
  <si>
    <t>propaan/butaan</t>
  </si>
  <si>
    <t>140</t>
  </si>
  <si>
    <t>4.1304</t>
  </si>
  <si>
    <t>overig gasvormig</t>
  </si>
  <si>
    <t>dieselmotor</t>
  </si>
  <si>
    <t>alle brandstoffen</t>
  </si>
  <si>
    <t>alle gasvormige en vloeibare brandstoffen</t>
  </si>
  <si>
    <t>4.1307</t>
  </si>
  <si>
    <t>4.1305</t>
  </si>
  <si>
    <t>95</t>
  </si>
  <si>
    <t>115</t>
  </si>
  <si>
    <t>gasvormig min vergistingsgas</t>
  </si>
  <si>
    <t>glycolfornuis</t>
  </si>
  <si>
    <t>4.1302</t>
  </si>
  <si>
    <t>Algemene meetverplichting</t>
  </si>
  <si>
    <t>Overig indirect gestookt min glycolfornuis</t>
  </si>
  <si>
    <t>4.1308</t>
  </si>
  <si>
    <t>SCPbest</t>
  </si>
  <si>
    <t>SCPbestbio</t>
  </si>
  <si>
    <t>offshore</t>
  </si>
  <si>
    <t>75</t>
  </si>
  <si>
    <t>MCPbest</t>
  </si>
  <si>
    <t>4.1333</t>
  </si>
  <si>
    <t>Overgangsrecht gasturbine - offshore</t>
  </si>
  <si>
    <t>Overgangsrecht gasmotor/dualfuel</t>
  </si>
  <si>
    <t>Specificatie meetverplichting, zoals invulling en uitzondering</t>
  </si>
  <si>
    <t xml:space="preserve">Er geldt een continue meetverplichting (art 4.79). </t>
  </si>
  <si>
    <t>De kwaliteitsborging van het continue meetsysteem vindt plaats volgen NEN-EN 14181 (art. 4.78). Onder de voorwaarden van art. 4.81 3e lid zijn halfjaarlijkse periodieke metingen door een geaccrediteerd laboratorium volgens NEN-EN 14792 toegestaan (art. 4.78 en 4.84).</t>
  </si>
  <si>
    <t>Er geldt een continue meetverplichting (art 4.41).</t>
  </si>
  <si>
    <t>De aangetoonde meetonzekerheid mag niet groter zijn dan 20% van de emissie-eis (art. 4.1312 en art. 4.1319).</t>
  </si>
  <si>
    <t xml:space="preserve">De installatie voldoet aan de gestelde emissie-eis als alle gevalideerde resultaten van de deelmetingen lager zijn dan de emissie-eis (art. 4.1315). Bij continue metingen moeten daarvoor alle gevalideerde daggemiddelden lager dan de emissie-eis zijn (art. 4.1320). </t>
  </si>
  <si>
    <t>IWTMCPbesttxt</t>
  </si>
  <si>
    <t>IWTLCPbesttxt</t>
  </si>
  <si>
    <t>artikel emissie-eis</t>
  </si>
  <si>
    <t>artikel maatwerk</t>
  </si>
  <si>
    <t>4.1346</t>
  </si>
  <si>
    <t>4.1347</t>
  </si>
  <si>
    <t>4.1348</t>
  </si>
  <si>
    <t>alle indirect gestookt min turbines en motoren</t>
  </si>
  <si>
    <t>Vast min Rie-biomassa</t>
  </si>
  <si>
    <t>vloeibaar min Rie-biomassa</t>
  </si>
  <si>
    <t>Gasvormig min hoogoven en cokesgas</t>
  </si>
  <si>
    <t>Cokesovengas</t>
  </si>
  <si>
    <t>Hoogovengas</t>
  </si>
  <si>
    <t>4.1349</t>
  </si>
  <si>
    <t xml:space="preserve">Een periodieke meting bestaat uit drie deelmetingen van 15-30 minuten. De metingen mogen worden uitgevoerd door een geaccrediteerde laboratorium volgens NEN-EN 14792 (art. 4.1354). Als rookgasreiniging wordt toegepast en niet kan worden aangetoond dat de emissie altijd lager is dan de eis, geldt een continue meetverplichting (art. 4.1353).  </t>
  </si>
  <si>
    <t>De aangetoonde meetonzekerheid mag niet groter zijn dan 20% van de emissie-eis (art. 4.1354 en art. 4.1361).</t>
  </si>
  <si>
    <t xml:space="preserve">De installatie voldoet aan de gestelde emissie-eis als alle gevalideerde resultaten van de deelmetingen lager zijn dan de emissie-eis (art. 4.1357). Bij continue metingen moeten daarvoor alle gevalideerde daggemiddelden lager dan de emissie-eis zijn (art. 4.1362). </t>
  </si>
  <si>
    <t>incl 40% gevaarlijk en afvalvernietiging</t>
  </si>
  <si>
    <t>Afvalmeeverbranding</t>
  </si>
  <si>
    <t>Overgangsrecht Afval(mee)verbranding</t>
  </si>
  <si>
    <t>4.1335</t>
  </si>
  <si>
    <t>afval of huishoudelijk</t>
  </si>
  <si>
    <t>gasturbine</t>
  </si>
  <si>
    <t>ZZS-paragraaf (§5.4.3)</t>
  </si>
  <si>
    <t>bijzonder en andere klein</t>
  </si>
  <si>
    <t>5.30</t>
  </si>
  <si>
    <t>200</t>
  </si>
  <si>
    <t>Ondergrens</t>
  </si>
  <si>
    <t>1000 kg/jaar</t>
  </si>
  <si>
    <t>voor alle brandstof 1(niet afval)</t>
  </si>
  <si>
    <t>voor alle brandstof 2 (niet afval)</t>
  </si>
  <si>
    <t>De aangetoonde meetonzekerheid mag niet groter zijn dan 20% van de emissie-eis (tabel 5.36).</t>
  </si>
  <si>
    <t>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t>
  </si>
  <si>
    <t>Afvalvernietiging</t>
  </si>
  <si>
    <t>alle bijzondere stookinstallaties; geen afvalvernietiging</t>
  </si>
  <si>
    <t>regelnr selectie br1</t>
  </si>
  <si>
    <t>regelnr selectie br2</t>
  </si>
  <si>
    <t>4.4 en 4.3</t>
  </si>
  <si>
    <t>4.126 en 4.127</t>
  </si>
  <si>
    <t>4.3, 4.4, 4.126, 4.127, 5.4.4</t>
  </si>
  <si>
    <t>relevante paragrafen</t>
  </si>
  <si>
    <t>EnergieUitAfval</t>
  </si>
  <si>
    <r>
      <t xml:space="preserve">Algemene eisen uit </t>
    </r>
    <r>
      <rPr>
        <b/>
        <sz val="8"/>
        <color theme="1"/>
        <rFont val="Calibri"/>
        <family val="2"/>
      </rPr>
      <t>§</t>
    </r>
  </si>
  <si>
    <r>
      <t xml:space="preserve">Algemene eisen uit </t>
    </r>
    <r>
      <rPr>
        <b/>
        <sz val="8"/>
        <color theme="1"/>
        <rFont val="Calibri"/>
        <family val="2"/>
      </rPr>
      <t>§</t>
    </r>
    <r>
      <rPr>
        <b/>
        <sz val="8"/>
        <color theme="1"/>
        <rFont val="Arial"/>
        <family val="2"/>
      </rPr>
      <t>5.4.4</t>
    </r>
  </si>
  <si>
    <r>
      <t xml:space="preserve">Algemene eisen uit </t>
    </r>
    <r>
      <rPr>
        <b/>
        <sz val="8"/>
        <color theme="1"/>
        <rFont val="Calibri"/>
        <family val="2"/>
      </rPr>
      <t>§</t>
    </r>
    <r>
      <rPr>
        <b/>
        <sz val="8"/>
        <color theme="1"/>
        <rFont val="Arial"/>
        <family val="2"/>
      </rPr>
      <t>4.127</t>
    </r>
  </si>
  <si>
    <r>
      <t xml:space="preserve">Algemene eisen uit </t>
    </r>
    <r>
      <rPr>
        <b/>
        <sz val="8"/>
        <color theme="1"/>
        <rFont val="Calibri"/>
        <family val="2"/>
      </rPr>
      <t>§</t>
    </r>
    <r>
      <rPr>
        <b/>
        <sz val="8"/>
        <color theme="1"/>
        <rFont val="Arial"/>
        <family val="2"/>
      </rPr>
      <t>4.126</t>
    </r>
  </si>
  <si>
    <r>
      <t xml:space="preserve">Algemene eisen uit </t>
    </r>
    <r>
      <rPr>
        <b/>
        <sz val="8"/>
        <color theme="1"/>
        <rFont val="Calibri"/>
        <family val="2"/>
      </rPr>
      <t>§</t>
    </r>
    <r>
      <rPr>
        <b/>
        <sz val="8"/>
        <color theme="1"/>
        <rFont val="Arial"/>
        <family val="2"/>
      </rPr>
      <t>4.3</t>
    </r>
  </si>
  <si>
    <r>
      <t xml:space="preserve">Algemene eisen uit </t>
    </r>
    <r>
      <rPr>
        <b/>
        <sz val="8"/>
        <color theme="1"/>
        <rFont val="Calibri"/>
        <family val="2"/>
      </rPr>
      <t>§</t>
    </r>
    <r>
      <rPr>
        <b/>
        <sz val="8"/>
        <color theme="1"/>
        <rFont val="Arial"/>
        <family val="2"/>
      </rPr>
      <t>4.4</t>
    </r>
  </si>
  <si>
    <t xml:space="preserve">Omschrijving </t>
  </si>
  <si>
    <t>vlgnr</t>
  </si>
  <si>
    <t>TSItxt</t>
  </si>
  <si>
    <t>Fase
brandstof 1</t>
  </si>
  <si>
    <t>Aandeel brandstof 2</t>
  </si>
  <si>
    <t>O2 ref
brandstof1</t>
  </si>
  <si>
    <t>Invoerparameters werkblad eisen</t>
  </si>
  <si>
    <t>Berekende parameters</t>
  </si>
  <si>
    <t>Invoerparameters</t>
  </si>
  <si>
    <t>Uren</t>
  </si>
  <si>
    <t>TBRAND1txt</t>
  </si>
  <si>
    <t>TBRAND2txt</t>
  </si>
  <si>
    <t>Aandeel brandstof2 in%</t>
  </si>
  <si>
    <t>Afvalverbranding met als doel afvalvernietiging</t>
  </si>
  <si>
    <t>Volgnummer brandstof1 (primaire brandstof)</t>
  </si>
  <si>
    <t>Volgnummer brandstof2 (secundaire brandstof)</t>
  </si>
  <si>
    <t>500-uursregeling van toepassing (volgt uit werkblad regelgeving)</t>
  </si>
  <si>
    <t xml:space="preserve">Doel van de afval(mee)verbranding </t>
  </si>
  <si>
    <t>Afvalverbranding met als doel energieopwekking</t>
  </si>
  <si>
    <t>Geldigheid van dit spreadsheet</t>
  </si>
  <si>
    <t>Fase van brandstof 1 (g=gas; l=liquid en s=solid)</t>
  </si>
  <si>
    <t>Datum ingebruikname vanaf</t>
  </si>
  <si>
    <t>Datum ingebruikname tot</t>
  </si>
  <si>
    <t>Referentie zuurstofgehalte brandstof 1</t>
  </si>
  <si>
    <t>Referentie zuurstofgehalte brandstof 2</t>
  </si>
  <si>
    <t>Stookinstallatie in de offshore</t>
  </si>
  <si>
    <t>Bal paragraaf waaruit de meetverplichting en de toetsing volgt</t>
  </si>
  <si>
    <t>Bal paragraaf waaronder het stoken van brandstof 1 valt</t>
  </si>
  <si>
    <t>Bal paragraaf waaronder het stoken van brandstof 2 valt</t>
  </si>
  <si>
    <t>Volgnummer van de stookinstallatie</t>
  </si>
  <si>
    <t>Specificatie stookinstallatie als tekst</t>
  </si>
  <si>
    <t>Type brandstof 1 (1=standaard, 2=niet standaard en 3=afval)</t>
  </si>
  <si>
    <t>Type brandstof 2 (1=standaard, 2=niet standaard en 3=afval)</t>
  </si>
  <si>
    <t>Type brandstof 1 als tekst</t>
  </si>
  <si>
    <t>Type brandstof 2 als tekst</t>
  </si>
  <si>
    <t>Vermogensklasse (kleine, middelgrote of grote)</t>
  </si>
  <si>
    <t>Type stookinstallatie als tekst</t>
  </si>
  <si>
    <t>Type stookinstallatie (1=standaard, 2=niet-standaard en 3=bijzondere)</t>
  </si>
  <si>
    <t>Keuze pull down menu bedrijfstijd</t>
  </si>
  <si>
    <t>Versie van dit spreadsheet</t>
  </si>
  <si>
    <r>
      <t xml:space="preserve">
</t>
    </r>
    <r>
      <rPr>
        <b/>
        <sz val="8"/>
        <color theme="1"/>
        <rFont val="Arial"/>
        <family val="2"/>
      </rPr>
      <t xml:space="preserve">specificatie bv brandstof </t>
    </r>
    <r>
      <rPr>
        <sz val="8"/>
        <color theme="1"/>
        <rFont val="Arial"/>
        <family val="2"/>
      </rPr>
      <t xml:space="preserve">
(relevante inputparameters: BRAND1/BRAND2, TBRAND1/TBRAND2, FBRAND1/FBRAND2, ABRAND2, afvalvernietiging of energieuitafval)</t>
    </r>
  </si>
  <si>
    <r>
      <t xml:space="preserve">Overgangsrecht </t>
    </r>
    <r>
      <rPr>
        <b/>
        <sz val="8"/>
        <color theme="1"/>
        <rFont val="Calibri"/>
        <family val="2"/>
      </rPr>
      <t>§</t>
    </r>
    <r>
      <rPr>
        <b/>
        <sz val="8"/>
        <color theme="1"/>
        <rFont val="Arial"/>
        <family val="2"/>
      </rPr>
      <t>4.4</t>
    </r>
  </si>
  <si>
    <r>
      <t xml:space="preserve">Overgangsrecht </t>
    </r>
    <r>
      <rPr>
        <b/>
        <sz val="8"/>
        <color theme="1"/>
        <rFont val="Calibri"/>
        <family val="2"/>
      </rPr>
      <t>§</t>
    </r>
    <r>
      <rPr>
        <b/>
        <sz val="8"/>
        <color theme="1"/>
        <rFont val="Arial"/>
        <family val="2"/>
      </rPr>
      <t>4.3</t>
    </r>
  </si>
  <si>
    <r>
      <t xml:space="preserve">Overgangsrecht </t>
    </r>
    <r>
      <rPr>
        <b/>
        <sz val="8"/>
        <color theme="1"/>
        <rFont val="Calibri"/>
        <family val="2"/>
      </rPr>
      <t>§</t>
    </r>
    <r>
      <rPr>
        <b/>
        <sz val="8"/>
        <color theme="1"/>
        <rFont val="Arial"/>
        <family val="2"/>
      </rPr>
      <t>4.126</t>
    </r>
  </si>
  <si>
    <r>
      <t xml:space="preserve">Overgangsrecht </t>
    </r>
    <r>
      <rPr>
        <b/>
        <sz val="8"/>
        <color theme="1"/>
        <rFont val="Calibri"/>
        <family val="2"/>
      </rPr>
      <t>§</t>
    </r>
    <r>
      <rPr>
        <b/>
        <sz val="8"/>
        <color theme="1"/>
        <rFont val="Arial"/>
        <family val="2"/>
      </rPr>
      <t>4.127</t>
    </r>
  </si>
  <si>
    <r>
      <t xml:space="preserve">Overgangsrecht </t>
    </r>
    <r>
      <rPr>
        <b/>
        <sz val="8"/>
        <color theme="1"/>
        <rFont val="Calibri"/>
        <family val="2"/>
      </rPr>
      <t>§</t>
    </r>
    <r>
      <rPr>
        <b/>
        <sz val="8"/>
        <color theme="1"/>
        <rFont val="Arial"/>
        <family val="2"/>
      </rPr>
      <t>5.4.4</t>
    </r>
  </si>
  <si>
    <t>Werkblad</t>
  </si>
  <si>
    <t>Eisen</t>
  </si>
  <si>
    <t>Dit is het enige werkblad dat door de gebruikers kunnen zien. Het werkblad is opgesplitst in drie delen, t.w. &lt;gegevens stookinstallaties&gt;, &lt;regelgeving&gt; en &lt;emissie-eisen&gt;. In het onderdeel &lt; gegevens stookinstallaties&gt; voert de gebruiker de gegevens van de betreffende stookinstallatie in met pull down menu's, tekst en schuifbalken. Als er gegevens in de gele cellen wordt ingevoerd, werken de schuifbalken daarachter niet meer. Op basis van de ingevoerde gegevens worden de gegevens in de rest van het werkbklad berekend. De ingevoerde waarden en afgeleide waarden worden opgeslagen in het werkblad [Data].</t>
  </si>
  <si>
    <t>De gegevens voor het onderdeel &lt;regelgeving&gt; worden opgehaald uit regel 4 van het werkblad [Regelgeving]. De gegevens voor het onderdeel &lt;emissie-eisen&gt; worden per stof opgehaald uit regel4 van het werkblad met de overeenkomstige naam.</t>
  </si>
  <si>
    <t xml:space="preserve">In het werkblad [Regelgeving] wordt op basis van de gegevens die zijn ingevoerd in het werkblad [Eisen], vastgesteld welke paragraaf van toepassing is op het verbranden van de primaire en secundaire brandstof en of daar een vergunning voor nodig is. Ook wordt vastgesteld welke andere onderdelen van het Bal en andere regels van toepassing zijn. </t>
  </si>
  <si>
    <t xml:space="preserve">De opzet van het werkblad is vergelijkbaar met die voor de componenten. De blauw gestippelde cellen bevatten standaard formules  om vast te stellen of de opgegegeven gegevens passen binnen de betreffende regel. Met deze standaard formules worden bijboorbeeld de BAL-pargraaf getoets voor beide brandstoffen, maar ook het tijdvak van inbedrijfname en het thermisch ingangsvermogen getoetst. Als aan alle voorwaarde wordt voldaan, wordt voor brandstof 1 in kolom B het betreffende regelnummer opgenomen en als dat het geval is voor brandstof 2 in kolom C.  In cel $B$5 en $C$6 staat het uiteindelijke regelnummer dat van toepassing is voor beide brandstoffen. </t>
  </si>
  <si>
    <t>De selectiecriteria staan in de kolommen D..O. In kolom P en Q staat kort uitgeschreven waar het in de betreffende regel over gaat. In de kolommen R..AD staan de relevante gegevens in de regelgeving. Het resultaat en mogelijk toelichtingen staan in respectievelijk de kolommen AE..AN en AO..AV. Met behulp van de waarden in cel $b$5 en $c$6, worden uit iedere kolom de gegevens voor respectievelijk de primaire en secundaire brandstof opgehaald. De gegevens die worden opgenomen in het werkblad [Eisen] staan in regel 4.</t>
  </si>
  <si>
    <t>Componenten</t>
  </si>
  <si>
    <t>De algemene opzet van de werkbladen met de emissie-eisen is gelijk aan die van het werkblad [Regelgeving]. Belangrijke cellen zijn $AF$4 en $AY$4. In AF4 staat de uiteindelijke emissie-eis evt na toepassing van de mengregel. In $AY$4 staan alle gegevens die in bij toelicht in het onderdeel emissie-eisen van het werkblad [Eisen] staat. Belangrijk om aan te geven is dat de cellen $B$5 en $C$6 het hoogste regelnummer bevatten die aan alle criteria voldoen. Daarom staat in het werkblad altijd eerst de algemene eisen met uitsluitend de datum inwerkingtreding</t>
  </si>
  <si>
    <t xml:space="preserve">Als de regelgeving voor een stof wijzigt, voeg dan een lege regel in aan het eind van het algemene deel van de betreffende paragraaf in het Bal. Kopieer de betreffende regel in het algemene deel naar de nieuwe regel. Vul daar de datum dat de nieuwe eis van kracht wordt in de kolommmen Z en AB en de nieuwe eisen, het maatwerk en de betreffende BAL artikelen in de kolommen AE..AN in. Voer de dat de nieuwe weisen van toepassing worden in de oorspronkelijke regel in kolom AA en AC in. Als er overgangsrecht geregeld is, voeg dan een nieuwe regel  in het beteffende overgangsdeel in en kopieer daar de oorspronkelijke regel (met de nieuwe einddatum heen) heen. Geef daar vervolgens in kolom AB en AC aan gedurende welke periode het overgangsrecht geldt. </t>
  </si>
  <si>
    <t>Data</t>
  </si>
  <si>
    <t>In het werkblad data staan alle parameters en invoer gegevens. In de kolommen A..K staan alle parameters incl naam, waarmee er naar de betreffende parameter kan worden verwezen. Vanaf kolom L staan alle gegevens die nodig zijn voor de schuifbalken en pulldownmenu's in het werkblad [Eisen].</t>
  </si>
  <si>
    <t>Korte beschrijving</t>
  </si>
  <si>
    <t>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t>
  </si>
  <si>
    <t>Toelichting over de eis bv wanneer de eis van toepassing wordt voor een bestaande installatie</t>
  </si>
  <si>
    <t>Emissie-eis</t>
  </si>
  <si>
    <r>
      <rPr>
        <b/>
        <sz val="8"/>
        <color theme="1"/>
        <rFont val="Arial"/>
        <family val="2"/>
      </rPr>
      <t>Maatwerk</t>
    </r>
    <r>
      <rPr>
        <sz val="8"/>
        <color theme="1"/>
        <rFont val="Arial"/>
        <family val="2"/>
      </rPr>
      <t xml:space="preserve"> geldt voorinstallaties met inbedrijfname </t>
    </r>
    <r>
      <rPr>
        <b/>
        <sz val="8"/>
        <color theme="1"/>
        <rFont val="Arial"/>
        <family val="2"/>
      </rPr>
      <t>vanaf</t>
    </r>
  </si>
  <si>
    <r>
      <rPr>
        <b/>
        <sz val="8"/>
        <color theme="1"/>
        <rFont val="Arial"/>
        <family val="2"/>
      </rPr>
      <t xml:space="preserve">Maatwerk </t>
    </r>
    <r>
      <rPr>
        <sz val="8"/>
        <color theme="1"/>
        <rFont val="Arial"/>
        <family val="2"/>
      </rPr>
      <t>geldt voorinstallaties met inbedrijfname</t>
    </r>
    <r>
      <rPr>
        <b/>
        <sz val="8"/>
        <color theme="1"/>
        <rFont val="Arial"/>
        <family val="2"/>
      </rPr>
      <t xml:space="preserve"> tot</t>
    </r>
  </si>
  <si>
    <t>Extra opmerking over emissie-eis bv een extra eis over een andere middelingstijd</t>
  </si>
  <si>
    <t>Invoeringsbesluit BBT-conclusies LCP van kracht</t>
  </si>
  <si>
    <t>Invoeringsbesluit BBT-conclusies LCP in AB/BAL</t>
  </si>
  <si>
    <t xml:space="preserve">De kwaliteitsborging van het continue meetsysteem vindt plaats volgen NEN-EN 14181 (art. 4.78). </t>
  </si>
  <si>
    <t>De aangetoonde meetonzekerheid mag niet groter zijn dan 20% van de emissie-eis of 10 mg/Nm3 (art. 4.88).</t>
  </si>
  <si>
    <t>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t>
  </si>
  <si>
    <t>30</t>
  </si>
  <si>
    <t>40</t>
  </si>
  <si>
    <t>4.34</t>
  </si>
  <si>
    <t>Gasturbine of dieselmotor</t>
  </si>
  <si>
    <t>bestaande stookinstallatie; geen GT en geen DM</t>
  </si>
  <si>
    <t>vloeibaar gemaakt gas</t>
  </si>
  <si>
    <t>5</t>
  </si>
  <si>
    <t>Gasturbine of gasmotor</t>
  </si>
  <si>
    <t>cokesovengas of hoogovengas</t>
  </si>
  <si>
    <t>Andere stookinstallatie</t>
  </si>
  <si>
    <t>220</t>
  </si>
  <si>
    <t>cokesovengas</t>
  </si>
  <si>
    <t>hoogovengas</t>
  </si>
  <si>
    <t>raffinaderij gas</t>
  </si>
  <si>
    <t>geen cokesoven, hoogoven of raffinaderijgas</t>
  </si>
  <si>
    <t>4.35</t>
  </si>
  <si>
    <t>, voor installaties vergund voor 27-11-2002</t>
  </si>
  <si>
    <t>SO2</t>
  </si>
  <si>
    <t xml:space="preserve">De kwaliteitsborging van het continue meetsysteem vindt plaats volgens NEN-EN 14181 (art. 4.40). </t>
  </si>
  <si>
    <t>65</t>
  </si>
  <si>
    <t>15</t>
  </si>
  <si>
    <t>4.1332</t>
  </si>
  <si>
    <t>170</t>
  </si>
  <si>
    <t>3</t>
  </si>
  <si>
    <t>Stof</t>
  </si>
  <si>
    <t>De aangetoonde meetonzekerheid mag niet groter zijn dan 30% van de emissie-eis of 1,5 mg/Nm3 (art. 4.88).</t>
  </si>
  <si>
    <t>bestaande stookinstallatie</t>
  </si>
  <si>
    <t>20</t>
  </si>
  <si>
    <t>Overige stookinstallaties</t>
  </si>
  <si>
    <t xml:space="preserve">Een periodieke meting bestaat uit drie deelmetingen van 15-30 minuten. De metingen mogen worden uitgevoerd door een geaccrediteerd laboratorium volgens NEN-EN 14792 of door een SCIOS gecertificeerd bedrijf volgens scope 6 (art. 4.1312). </t>
  </si>
  <si>
    <t xml:space="preserve">Een periodieke meting bestaat uit drie deelmetingen van 15-30 minuten. De metingen mogen worden uitgevoerd door een geaccrediteerde laboratorium volgens NEN-EN 14792 (art. 4.1354). </t>
  </si>
  <si>
    <t xml:space="preserve">Een periodieke meting bestaat uit drie deelmetingen van 15-30 minuten. De metingen mogen worden uitgevoerd door een geaccrediteerd laboratorium volgens NEN-EN 14791 of door een SCIOS gecertificeerd bedrijf volgens scope 6 (art. 4.1312). </t>
  </si>
  <si>
    <t xml:space="preserve">Een periodieke meting bestaat uit drie deelmetingen van 15-30 minuten. De metingen mogen worden uitgevoerd door een geaccrediteerde laboratorium volgens NEN-EN 14791 (art. 4.1354). </t>
  </si>
  <si>
    <t xml:space="preserve">Een periodieke meting bestaat uit drie deelmetingen van 15-30 minuten. De metingen mogen worden uitgevoerd door een geaccrediteerde laboratorium volgens NEN-EN 13284-1 (art. 4.1354). </t>
  </si>
  <si>
    <t>De aangetoonde meetonzekerheid mag niet groter zijn dan 30% van de emissie-eis (art. 4.1354 en art. 4.1361).</t>
  </si>
  <si>
    <t>10</t>
  </si>
  <si>
    <t>4.1370</t>
  </si>
  <si>
    <t>130</t>
  </si>
  <si>
    <t>gasmotor</t>
  </si>
  <si>
    <r>
      <t>mg C/Nm</t>
    </r>
    <r>
      <rPr>
        <sz val="8"/>
        <color theme="1"/>
        <rFont val="Verdana"/>
        <family val="2"/>
      </rPr>
      <t>³</t>
    </r>
  </si>
  <si>
    <t xml:space="preserve">Een periodieke meting bestaat uit drie deelmetingen van 15-30 minuten. De metingen mogen worden uitgevoerd door een geaccrediteerd laboratorium volgens NEN-EN 12619 of door een SCIOS gecertificeerd bedrijf volgens scope 6 (art. 4.1312). </t>
  </si>
  <si>
    <t>Ketel</t>
  </si>
  <si>
    <t>12</t>
  </si>
  <si>
    <t>4.39a</t>
  </si>
  <si>
    <t>De installatie voldoet aan de gestelde emissie-eis als alle gevalideerde meetresultaten van de deelmetingen lager zijn dan de emissie-eis (art. 4.44). Een gevalideerd meetresultaat is het meetresultaat nadat de aangetoonde meetonzekerheid in mindering is gebracht.</t>
  </si>
  <si>
    <t>6</t>
  </si>
  <si>
    <t>Er geldt een continue meetverplichting (art 4.79).</t>
  </si>
  <si>
    <t>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t>
  </si>
  <si>
    <t>CxHy</t>
  </si>
  <si>
    <t>Kwik</t>
  </si>
  <si>
    <t>4.75</t>
  </si>
  <si>
    <t>De aangetoonde meetonzekerheid mag niet groter zijn dan 40% van de emissie-eis of 4 ug/Nm3 (art. 4.88).</t>
  </si>
  <si>
    <t>biomassa</t>
  </si>
  <si>
    <t>overige vaste brandstof</t>
  </si>
  <si>
    <t>stookinstallatie; geen meeverbranding</t>
  </si>
  <si>
    <t>bestaande stookinstallatie; geen meeverbranding</t>
  </si>
  <si>
    <t>4</t>
  </si>
  <si>
    <t>2</t>
  </si>
  <si>
    <t>De kwaliteitsborging van het continue meetsysteem vindt plaats volgen NEN-EN 14181 (art. 4.78). Onder de voorwaarden van art. 4.79 1e lid onder c zijn halfjaarlijkse periodieke metingen door een geaccrediteerd laboratorium volgens NEN-EN 13211 toegestaan (art. 4.78 en 4.84).</t>
  </si>
  <si>
    <t>Er geldt een halfjaarlijkse periodiek meetverplichting (art 4.41a).</t>
  </si>
  <si>
    <t>Er geldt een periodiek meetverplichting van eens per jaar (art 4.41a).</t>
  </si>
  <si>
    <t xml:space="preserve">Een periodieke meting bestaat uit drie deelmetingen van ten minste 30 minuten. De metingen worden uitgevoerd door een geaccrediteerd laboratorium volgens NEN-EN 12619 (art. 4.40 en 4.48). </t>
  </si>
  <si>
    <t xml:space="preserve">Een periodieke meting bestaat uit drie deelmetingen van ten minste 30 minuten. De metingen worden uitgevoerd door een geaccrediteerd laboratorium volgens NEN-EN 13211 (art. 4.40 en 4.48). </t>
  </si>
  <si>
    <t>Afvalmeeverbranding  in grote stookinstallatie</t>
  </si>
  <si>
    <t>Afvalmeeverbranding  in middelgrote of kleine stookinstallatie</t>
  </si>
  <si>
    <t xml:space="preserve">Op grond van artikel 4.81 1e lid geldt een halfjaarlijkse periodieke meetverplichting. Op basis van het atikel 4.81 2e of 5e lid kan een afwijkende meetfrequentie van toepassing zijn. </t>
  </si>
  <si>
    <t>Een periodieke meting bestaat uit één deelmeting van ten minste 30 minuten en ten hoogste acht uur. De metingen worden uitgevoerd door een geaccrediteerd laboratorium volgens NEN-EN 14385 (art. 4.78 en 4.84).</t>
  </si>
  <si>
    <t>0,15</t>
  </si>
  <si>
    <t>0,5</t>
  </si>
  <si>
    <r>
      <t>ng TEQ/Nm</t>
    </r>
    <r>
      <rPr>
        <sz val="8"/>
        <color theme="1"/>
        <rFont val="Verdana"/>
        <family val="2"/>
      </rPr>
      <t>³</t>
    </r>
  </si>
  <si>
    <t>0,03</t>
  </si>
  <si>
    <t>0,1</t>
  </si>
  <si>
    <t>Dioxines</t>
  </si>
  <si>
    <t>Invoeringsbesluit BBT-conclusies WI van kracht</t>
  </si>
  <si>
    <t>Op grond van artikel 4.41a geldt een halfjaarlijkse periodieke meetverplichting als de brandstof gechloreerde componenten bevat.</t>
  </si>
  <si>
    <t>Een periodieke meting bestaat uit één deelmeting van ten minste 30 minuten en ten hoogste twee uur. De metingen worden uitgevoerd door een geaccrediteerd laboratorium volgens NEN-EN 1948-1, NEN-EN 1948-2 en NEN-EN 1948-3 (art. 4.48 en 4.84).</t>
  </si>
  <si>
    <t>Een periodieke meting bestaat uit één deelmeting van ten minste 30 minuten en ten hoogste acht uur. De metingen worden uitgevoerd door een geaccrediteerd laboratorium volgens NEN-EN 1948-1, NEN-EN 1948-2 en NEN-EN 1948-3 (art. 4.78 en 4.84).</t>
  </si>
  <si>
    <t>De installatie voldoet aan de gestelde emissie-eis als gevalideerde meetresultaten lager dan de emissie-eis zijn (art. 4.90). Een gevalideerde waarde is de waarde nadat de aangetoonde meetonzekerheid in mindering is gebracht.</t>
  </si>
  <si>
    <t>De installatie voldoet aan de gestelde emissie-eis als gevalideerde meetresultaten lager dan de emissie-eis zijn (art. 4.44). Een gevalideerde waarde is de waarde nadat de aangetoonde meetonzekerheid in mindering is gebracht.</t>
  </si>
  <si>
    <t>Invoer gegevens stookinstallatie</t>
  </si>
  <si>
    <t>CO</t>
  </si>
  <si>
    <t xml:space="preserve"> als daggemiddelde en 150 mg/Nm3 als tienminutengemiddelde</t>
  </si>
  <si>
    <t xml:space="preserve"> als daggemiddelde naast de tienminutengemiddelde eis; voor wervelbedtechnologie is het maatwerk gelimiteerd tot 100 mg/Nm3 als uurgemiddelde.</t>
  </si>
  <si>
    <t>De aangetoonde meetonzekerheid mag niet groter zijn dan 10% van de emissie-eis of 5 mg/Nm3 (art. 4.88).</t>
  </si>
  <si>
    <t>De installatie voldoet aan de gestelde emissie-eis als 97% van alle gevalideerde daggemiddelden lager zijn dan de emissie-eis en 95% van alle gevalideerdee tienminutengemiddelden in een periode van 24 uur lager is dan overeenkomstige eis (art. 4.90 3e lid). Een gevalideerd gemiddelde is het gemiddelde nadat de aangetoonde meetonzekerheid in mindering is gebracht.</t>
  </si>
  <si>
    <t>De installatie voldoet aan de gestelde emissie-eis als alle gevalideerde daggemiddelden lager zijn dan de emissie-eis (art. 4.90 4e lid). Een gevalideerd gemiddelde is het gemiddelde nadat de aangetoonde meetonzekerheid in mindering is gebracht.</t>
  </si>
  <si>
    <t>De aangetoonde meetonzekerheid mag niet groter zijn dan 10% van de emissie-eis (art. 4.48).</t>
  </si>
  <si>
    <t>4.38</t>
  </si>
  <si>
    <t>8</t>
  </si>
  <si>
    <t>Procesbrandstof</t>
  </si>
  <si>
    <t>Bestaande stookinstallatie</t>
  </si>
  <si>
    <t>9</t>
  </si>
  <si>
    <t>Stookinstallatie &lt;100 MW</t>
  </si>
  <si>
    <t>overig vaste brandstoffen</t>
  </si>
  <si>
    <t>Afvalmeeverbrandingsinstallatie geen HCl eisen in 4.3</t>
  </si>
  <si>
    <t xml:space="preserve"> voor installaties die voor 14-6-2019 in gebruik zijn genomen geldt een eis van 15 mg/Nm3.</t>
  </si>
  <si>
    <t>4.76</t>
  </si>
  <si>
    <t>Afvalmeeverbrandingsinstallatie geen HCl eisen in 4.126</t>
  </si>
  <si>
    <t>Afvalmeeverbrandingsinstallatie geen HCl eisen in 4.127</t>
  </si>
  <si>
    <t>Er geldt een periodiek meetverplichting van eens per half jaar (art 4.41a).</t>
  </si>
  <si>
    <t>HCl</t>
  </si>
  <si>
    <t xml:space="preserve">Een periodieke meting bestaat uit drie deelmetingen van ten minste 30 minuten. De metingen worden uitgevoerd door een geaccrediteerd laboratorium volgens NEN-EN 1911 (art. 4.40 en 4.48). </t>
  </si>
  <si>
    <t>1</t>
  </si>
  <si>
    <t>De kwaliteitsborging van het continue meetsysteem vindt plaats volgen NEN-EN 14181 (art. 4.78). Onder de voorwaarden van art. 4.81 4e lid zijn halfjaarlijkse (of geen) periodieke metingen door een geaccrediteerd laboratorium volgens NEN-EN 1911 toegestaan (art. 4.78 en 4.84).</t>
  </si>
  <si>
    <t>De kwaliteitsborging van het continue meetsysteem vindt plaats volgen NEN-EN 14181 (art. 4.78). Onder de voorwaarden van art. 4.81 4e lid zijn halfjaarlijkse (of geen) periodieke metingen door een geaccrediteerd laboratorium volgens NEN-EN 14791 toegestaan (art. 4.78 en 4.84).</t>
  </si>
  <si>
    <t>De kwaliteitsborging van het continue meetsysteem vindt plaats volgen NEN-EN 14181 (art. 4.78). Onder de voorwaarden van art. 4.79 1e lid of art. 4.81 4e lid zijn halfjaarlijkse periodieke metingen door een geaccrediteerd laboratorium volgens NEN-ISO 15713 toegestaan (art. 4.78 en 4.84).</t>
  </si>
  <si>
    <t xml:space="preserve">Een periodieke meting bestaat uit drie deelmetingen van ten minste 30 minuten. De metingen worden uitgevoerd door een geaccrediteerd laboratorium volgens NEN-ISO 15713 (art. 4.40 en 4.48). </t>
  </si>
  <si>
    <t>De aangetoonde meetonzekerheid mag niet groter zijn dan 40% van de emissie-eis of 0,4 mg/Nm3 (art. 4.88).</t>
  </si>
  <si>
    <t>De aangetoonde meetonzekerheid mag niet groter zijn dan 40% van de emissie-eis of 4 mg/Nm3 (art. 4.88).</t>
  </si>
  <si>
    <t>De aangetoonde meetonzekerheid mag niet groter zijn dan 30% van de emissie-eis of 3 mg/Nm3 (art. 4.88).</t>
  </si>
  <si>
    <t>vloeibare brandstoffen</t>
  </si>
  <si>
    <t>NH3</t>
  </si>
  <si>
    <t>einde datum overgangstermijn WI</t>
  </si>
  <si>
    <t>IWTWIbest</t>
  </si>
  <si>
    <t>Afvalmeeverbrandingsinstallatie geen HF eisen in 4.3</t>
  </si>
  <si>
    <t>Afvalmeeverbrandingsinstallatie geen HF eisen in 4.126</t>
  </si>
  <si>
    <t>Afvalmeeverbrandingsinstallatie geen HF eisen in 4.127</t>
  </si>
  <si>
    <t>stookinstallaties met S(N)CR</t>
  </si>
  <si>
    <t>De aangetoonde meetonzekerheid mag niet groter zijn dan 40% van de emissie-eis of 2 mg/Nm3 (art. 4.88).</t>
  </si>
  <si>
    <t xml:space="preserve">Een periodieke meting bestaat uit drie deelmetingen van ten minste 30 minuten. De metingen worden uitgevoerd door een geaccrediteerd laboratorium volgens NEN 2826 (art. 4.40 en 4.48). </t>
  </si>
  <si>
    <t>NOx</t>
  </si>
  <si>
    <t>HF</t>
  </si>
  <si>
    <t>Cd_en_Tl</t>
  </si>
  <si>
    <t>Zware_Metalen</t>
  </si>
  <si>
    <t>0,036</t>
  </si>
  <si>
    <t xml:space="preserve">Een periodieke meting bestaat uit drie deelmetingen van ten minste 30 minuten. De metingen worden uitgevoerd door een geaccrediteerd laboratorium volgens NPR-CEN/TS 13649 (art. 4.40 en 4.48). </t>
  </si>
  <si>
    <t>Formaldehyde</t>
  </si>
  <si>
    <t>Cementoven</t>
  </si>
  <si>
    <t>Afvalmeeverbrandingsinstallatie met als hoofddoel het opwekken van energie</t>
  </si>
  <si>
    <t xml:space="preserve">Er geldt een continue meetverplichting (art 4.79). Op basis van het atikel 4.81 3e lid kan een afwijkende meetfrequentie van toepassing zijn. </t>
  </si>
  <si>
    <t>4.39</t>
  </si>
  <si>
    <t>Stoffen waaraan emissie-eisen worden gesteld</t>
  </si>
  <si>
    <t>Andere emissie-eisen</t>
  </si>
  <si>
    <t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4.1362). </t>
  </si>
  <si>
    <t>Fase van brandstof 2 (g=gas; l=liquid en s=solid)</t>
  </si>
  <si>
    <t>Meetverplichting volgt uit de storingsfactor (zie art. 5.32)</t>
  </si>
  <si>
    <t>De aangetoonde meetonzekerheid mag niet groter zijn dan 30% van de emissie-eis (art. 4.48).</t>
  </si>
  <si>
    <t>Stookinstallatie; geen GT en geen DM</t>
  </si>
  <si>
    <t>andere grote stookinstallatie; geen GT en geen DM</t>
  </si>
  <si>
    <t>vast of vloeibaar; geen biomassa</t>
  </si>
  <si>
    <t>vaste biomassa</t>
  </si>
  <si>
    <t>vast of vloeibaar; geen vaste biomassa</t>
  </si>
  <si>
    <t>4.1334</t>
  </si>
  <si>
    <t>Datum</t>
  </si>
  <si>
    <t>Zuurstofgehalte afgewerkte olie op 3 vol% gezet conform art 4.73 4e lid</t>
  </si>
  <si>
    <t>Zuurstofgehalte bij toepassen mengregel voor afvalmeeverbrandingsinstallaties conform art 4.75 2e en 3e aangepast aan 3/6 vol% ongeacht primaire/secundaire brandstof</t>
  </si>
  <si>
    <r>
      <rPr>
        <sz val="8"/>
        <color theme="1"/>
        <rFont val="Verdana"/>
        <family val="2"/>
      </rPr>
      <t>μ</t>
    </r>
    <r>
      <rPr>
        <sz val="8"/>
        <color theme="1"/>
        <rFont val="Arial"/>
        <family val="2"/>
      </rPr>
      <t>g/Nm</t>
    </r>
    <r>
      <rPr>
        <sz val="8"/>
        <color theme="1"/>
        <rFont val="Verdana"/>
        <family val="2"/>
      </rPr>
      <t>³</t>
    </r>
  </si>
  <si>
    <t>Suggestie voor maatwerk indien emissie-eis voor mengregel ontbreekt</t>
  </si>
  <si>
    <t>houdbaarheid aangepast naar 31-12-2022</t>
  </si>
  <si>
    <t>houdbaarheid aangepast naar 31-12-2023</t>
  </si>
  <si>
    <t>4.1374a</t>
  </si>
  <si>
    <t>4.1303a</t>
  </si>
  <si>
    <t xml:space="preserve"> bij toepassing van SNCR. Bij toepassing van SCR geldt een eis van 5 mg/Nm³.</t>
  </si>
  <si>
    <t>De aangetoonde meetonzekerheid mag niet groter zijn dan 40% van de emissie-eis (art. 4.1312 en art. 4.1319).</t>
  </si>
  <si>
    <t xml:space="preserve">Een periodieke meting bestaat uit drie deelmetingen van 15-30 minuten. De metingen mogen worden uitgevoerd door een geaccrediteerde laboratorium volgens NEN-EN-ISO 21877 (art. 4.1354). </t>
  </si>
  <si>
    <t>De aangetoonde meetonzekerheid mag niet groter zijn dan 40% van de emissie-eis (art. 4.1354 en art. 4.1361).</t>
  </si>
  <si>
    <t xml:space="preserve">Een periodieke meting bestaat uit drie deelmetingen van 15-30 minuten. De metingen mogen worden uitgevoerd door een geaccrediteerd laboratorium volgens NEN-EN-ISO 21877 (art. 4.1312). </t>
  </si>
  <si>
    <r>
      <t>aardgas</t>
    </r>
    <r>
      <rPr>
        <sz val="8"/>
        <color rgb="FFCC00CC"/>
        <rFont val="Arial"/>
        <family val="2"/>
      </rPr>
      <t>/waterstof</t>
    </r>
  </si>
  <si>
    <t>aardgas/waterstof</t>
  </si>
  <si>
    <r>
      <t xml:space="preserve">gasvormig min vergistingsgas </t>
    </r>
    <r>
      <rPr>
        <sz val="8"/>
        <color rgb="FFCC00CC"/>
        <rFont val="Arial"/>
        <family val="2"/>
      </rPr>
      <t>min waterstof</t>
    </r>
  </si>
  <si>
    <t>Rie-biomassa stookinstallaties met S(N)CR</t>
  </si>
  <si>
    <t>waterstof</t>
  </si>
  <si>
    <t>90</t>
  </si>
  <si>
    <t>Datum IWT waterstof=standaard brandstof</t>
  </si>
  <si>
    <t>IWTH2</t>
  </si>
  <si>
    <t>§4.126 geeft geen emissie-eisen voor dit type stookinstallaties</t>
  </si>
  <si>
    <t>alle bijzondere stookinstallaties; geen afval</t>
  </si>
  <si>
    <t>100 kg/jaar</t>
  </si>
  <si>
    <t>Toelichting emissiegrenswaarden en maatwerk</t>
  </si>
  <si>
    <t>Aanscherping biomassa-eisen, de aanscherping van de algemene eisen en de wijziging voor waterstofstook toegevoegd</t>
  </si>
  <si>
    <t xml:space="preserve"> mg/Nm3 bij toepassing van SNCR en 10 mg/Nm³ bij toepassing van SCR.</t>
  </si>
  <si>
    <t>De aangetoonde meetonzekerheid mag niet groter zijn dan 30% van de emissie-eis (tabel 5.36).</t>
  </si>
  <si>
    <t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t>
  </si>
  <si>
    <t>t/m
(relevante invoer parameters: INGVAN en INGTOT)</t>
  </si>
  <si>
    <t>&lt;vs1&gt;</t>
  </si>
  <si>
    <t>Afvalverbrandingsinstallatie geen cementoven</t>
  </si>
  <si>
    <t>Afvalmeeverbranding geen cementoven</t>
  </si>
  <si>
    <t>Alle vebeteringen nav testen zijn doorgevoerd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</si>
</sst>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yy;@"/>
    <numFmt numFmtId="165" formatCode="d/mm/yy;@"/>
    <numFmt numFmtId="166" formatCode="d/m/yy"/>
    <numFmt numFmtId="167" formatCode="0.0"/>
    <numFmt numFmtId="168" formatCode="dd/mm/yy;@"/>
    <numFmt numFmtId="169" formatCode="0.0000"/>
  </numFmts>
  <fonts count="32" x14ac:knownFonts="1">
    <font>
      <sz val="9"/>
      <color theme="1"/>
      <name val="Verdana"/>
      <family val="2"/>
    </font>
    <font>
      <b/>
      <sz val="8"/>
      <name val="Arial"/>
      <family val="2"/>
    </font>
    <font>
      <sz val="8"/>
      <name val="Arial"/>
      <family val="2"/>
    </font>
    <font>
      <sz val="8"/>
      <color theme="1"/>
      <name val="Arial"/>
      <family val="2"/>
    </font>
    <font>
      <b/>
      <sz val="8"/>
      <color theme="1"/>
      <name val="Arial"/>
      <family val="2"/>
    </font>
    <font>
      <sz val="10"/>
      <color theme="1"/>
      <name val="Arial"/>
      <family val="2"/>
    </font>
    <font>
      <i/>
      <sz val="8"/>
      <color theme="1"/>
      <name val="Arial"/>
      <family val="2"/>
    </font>
    <font>
      <sz val="9"/>
      <color theme="1"/>
      <name val="Arial"/>
      <family val="2"/>
    </font>
    <font>
      <b/>
      <i/>
      <sz val="12"/>
      <color theme="0"/>
      <name val="Arial"/>
      <family val="2"/>
    </font>
    <font>
      <i/>
      <sz val="8"/>
      <color rgb="FFFF0000"/>
      <name val="Arial"/>
      <family val="2"/>
    </font>
    <font>
      <sz val="8"/>
      <color rgb="FFFF0000"/>
      <name val="Arial"/>
      <family val="2"/>
    </font>
    <font>
      <sz val="9"/>
      <color rgb="FFFF0000"/>
      <name val="Arial"/>
      <family val="2"/>
    </font>
    <font>
      <sz val="8"/>
      <color theme="1"/>
      <name val="Verdana"/>
      <family val="2"/>
    </font>
    <font>
      <sz val="8"/>
      <color theme="0" tint="-0.499984740745262"/>
      <name val="Arial"/>
      <family val="2"/>
    </font>
    <font>
      <b/>
      <sz val="10"/>
      <color theme="0"/>
      <name val="Arial"/>
      <family val="2"/>
    </font>
    <font>
      <b/>
      <sz val="10"/>
      <color theme="1"/>
      <name val="Arial"/>
      <family val="2"/>
    </font>
    <font>
      <sz val="9"/>
      <color indexed="81"/>
      <name val="Tahoma"/>
      <charset val="1"/>
    </font>
    <font>
      <b/>
      <sz val="9"/>
      <color indexed="81"/>
      <name val="Tahoma"/>
      <charset val="1"/>
    </font>
    <font>
      <b/>
      <sz val="8"/>
      <color rgb="FFFF0000"/>
      <name val="Arial"/>
      <family val="2"/>
    </font>
    <font>
      <b/>
      <sz val="14"/>
      <color theme="1"/>
      <name val="Arial"/>
      <family val="2"/>
    </font>
    <font>
      <sz val="9"/>
      <color indexed="81"/>
      <name val="Tahoma"/>
      <family val="2"/>
    </font>
    <font>
      <b/>
      <sz val="8"/>
      <color theme="1"/>
      <name val="Calibri"/>
      <family val="2"/>
    </font>
    <font>
      <sz val="16"/>
      <color theme="1"/>
      <name val="Arial"/>
      <family val="2"/>
    </font>
    <font>
      <b/>
      <sz val="9"/>
      <color theme="1"/>
      <name val="Arial"/>
      <family val="2"/>
    </font>
    <font>
      <sz val="7.5"/>
      <color rgb="FFFF0000"/>
      <name val="Arial"/>
      <family val="2"/>
    </font>
    <font>
      <sz val="8"/>
      <color theme="3" tint="0.39997558519241921"/>
      <name val="Arial"/>
      <family val="2"/>
    </font>
    <font>
      <sz val="10"/>
      <color theme="0"/>
      <name val="Arial"/>
      <family val="2"/>
    </font>
    <font>
      <b/>
      <sz val="10"/>
      <color rgb="FF0070C0"/>
      <name val="Arial"/>
      <family val="2"/>
    </font>
    <font>
      <sz val="8"/>
      <color rgb="FFCC00CC"/>
      <name val="Arial"/>
      <family val="2"/>
    </font>
    <font>
      <sz val="7"/>
      <color theme="3" tint="0.39997558519241921"/>
      <name val="Arial"/>
      <family val="2"/>
    </font>
    <font>
      <b/>
      <sz val="9"/>
      <color indexed="81"/>
      <name val="Tahoma"/>
      <family val="2"/>
    </font>
    <font>
      <sz val="7.5"/>
      <color theme="1" tint="0.499984740745262"/>
      <name val="Arial"/>
      <family val="2"/>
    </font>
  </fonts>
  <fills count="26">
    <fill>
      <patternFill patternType="none"/>
    </fill>
    <fill>
      <patternFill patternType="gray125"/>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CECFF"/>
        <bgColor indexed="64"/>
      </patternFill>
    </fill>
    <fill>
      <patternFill patternType="solid">
        <fgColor theme="8"/>
        <bgColor indexed="64"/>
      </patternFill>
    </fill>
    <fill>
      <patternFill patternType="solid">
        <fgColor theme="4" tint="0.599963377788628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34998626667073579"/>
        <bgColor indexed="64"/>
      </patternFill>
    </fill>
    <fill>
      <patternFill patternType="gray0625">
        <bgColor rgb="FFCCECFF"/>
      </patternFill>
    </fill>
    <fill>
      <patternFill patternType="solid">
        <fgColor rgb="FFFFFF00"/>
        <bgColor indexed="64"/>
      </patternFill>
    </fill>
  </fills>
  <borders count="116">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medium">
        <color rgb="FF002060"/>
      </right>
      <top style="medium">
        <color rgb="FF002060"/>
      </top>
      <bottom style="thin">
        <color rgb="FF002060"/>
      </bottom>
      <diagonal/>
    </border>
    <border>
      <left style="medium">
        <color rgb="FF002060"/>
      </left>
      <right/>
      <top style="thin">
        <color rgb="FF002060"/>
      </top>
      <bottom/>
      <diagonal/>
    </border>
    <border>
      <left/>
      <right/>
      <top style="thin">
        <color rgb="FF002060"/>
      </top>
      <bottom/>
      <diagonal/>
    </border>
    <border>
      <left/>
      <right style="medium">
        <color rgb="FF002060"/>
      </right>
      <top style="thin">
        <color rgb="FF002060"/>
      </top>
      <bottom/>
      <diagonal/>
    </border>
    <border>
      <left style="medium">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rgb="FF002060"/>
      </left>
      <right/>
      <top/>
      <bottom style="thin">
        <color indexed="64"/>
      </bottom>
      <diagonal/>
    </border>
    <border>
      <left/>
      <right style="medium">
        <color rgb="FF002060"/>
      </right>
      <top/>
      <bottom style="thin">
        <color indexed="64"/>
      </bottom>
      <diagonal/>
    </border>
    <border>
      <left/>
      <right style="medium">
        <color rgb="FF002060"/>
      </right>
      <top/>
      <bottom style="medium">
        <color rgb="FF002060"/>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thin">
        <color rgb="FF002060"/>
      </left>
      <right/>
      <top/>
      <bottom/>
      <diagonal/>
    </border>
    <border>
      <left/>
      <right/>
      <top style="medium">
        <color rgb="FF002060"/>
      </top>
      <bottom/>
      <diagonal/>
    </border>
    <border>
      <left/>
      <right style="medium">
        <color rgb="FF002060"/>
      </right>
      <top style="medium">
        <color rgb="FF002060"/>
      </top>
      <bottom/>
      <diagonal/>
    </border>
    <border>
      <left style="medium">
        <color rgb="FF002060"/>
      </left>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medium">
        <color rgb="FF002060"/>
      </right>
      <top style="thin">
        <color rgb="FF002060"/>
      </top>
      <bottom style="thin">
        <color rgb="FF002060"/>
      </bottom>
      <diagonal/>
    </border>
    <border>
      <left style="thin">
        <color indexed="64"/>
      </left>
      <right style="medium">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rgb="FF002060"/>
      </left>
      <right/>
      <top style="thin">
        <color rgb="FF002060"/>
      </top>
      <bottom style="medium">
        <color rgb="FF002060"/>
      </bottom>
      <diagonal/>
    </border>
    <border>
      <left/>
      <right/>
      <top style="thin">
        <color rgb="FF002060"/>
      </top>
      <bottom style="medium">
        <color rgb="FF002060"/>
      </bottom>
      <diagonal/>
    </border>
    <border>
      <left/>
      <right style="medium">
        <color rgb="FF002060"/>
      </right>
      <top style="thin">
        <color rgb="FF002060"/>
      </top>
      <bottom style="medium">
        <color rgb="FF002060"/>
      </bottom>
      <diagonal/>
    </border>
    <border>
      <left style="medium">
        <color rgb="FF002060"/>
      </left>
      <right/>
      <top style="thin">
        <color rgb="FF002060"/>
      </top>
      <bottom style="medium">
        <color rgb="FF002060"/>
      </bottom>
      <diagonal/>
    </border>
    <border>
      <left style="thin">
        <color rgb="FF002060"/>
      </left>
      <right/>
      <top style="thin">
        <color rgb="FF002060"/>
      </top>
      <bottom/>
      <diagonal/>
    </border>
    <border>
      <left style="thin">
        <color rgb="FF002060"/>
      </left>
      <right/>
      <top/>
      <bottom style="thin">
        <color indexed="64"/>
      </bottom>
      <diagonal/>
    </border>
    <border>
      <left style="thin">
        <color rgb="FF002060"/>
      </left>
      <right/>
      <top/>
      <bottom style="medium">
        <color rgb="FF002060"/>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2060"/>
      </left>
      <right/>
      <top style="medium">
        <color rgb="FF002060"/>
      </top>
      <bottom style="thin">
        <color rgb="FF002060"/>
      </bottom>
      <diagonal/>
    </border>
    <border>
      <left style="thin">
        <color rgb="FF002060"/>
      </left>
      <right/>
      <top/>
      <bottom style="thin">
        <color rgb="FF002060"/>
      </bottom>
      <diagonal/>
    </border>
    <border>
      <left style="medium">
        <color indexed="64"/>
      </left>
      <right style="medium">
        <color indexed="64"/>
      </right>
      <top/>
      <bottom/>
      <diagonal/>
    </border>
    <border>
      <left style="medium">
        <color indexed="64"/>
      </left>
      <right/>
      <top style="dashed">
        <color indexed="64"/>
      </top>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bottom/>
      <diagonal/>
    </border>
    <border>
      <left style="thin">
        <color rgb="FF002060"/>
      </left>
      <right style="medium">
        <color rgb="FF002060"/>
      </right>
      <top/>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right style="thin">
        <color indexed="64"/>
      </right>
      <top style="thin">
        <color indexed="64"/>
      </top>
      <bottom style="medium">
        <color indexed="64"/>
      </bottom>
      <diagonal/>
    </border>
    <border>
      <left/>
      <right style="thin">
        <color rgb="FF002060"/>
      </right>
      <top/>
      <bottom style="medium">
        <color rgb="FF002060"/>
      </bottom>
      <diagonal/>
    </border>
    <border>
      <left/>
      <right style="thin">
        <color rgb="FF002060"/>
      </right>
      <top style="medium">
        <color rgb="FF002060"/>
      </top>
      <bottom style="thin">
        <color rgb="FF002060"/>
      </bottom>
      <diagonal/>
    </border>
    <border>
      <left style="medium">
        <color indexed="64"/>
      </left>
      <right/>
      <top style="thin">
        <color indexed="64"/>
      </top>
      <bottom/>
      <diagonal/>
    </border>
    <border>
      <left/>
      <right/>
      <top/>
      <bottom style="dashed">
        <color indexed="64"/>
      </bottom>
      <diagonal/>
    </border>
    <border>
      <left style="medium">
        <color indexed="64"/>
      </left>
      <right/>
      <top/>
      <bottom style="dashed">
        <color indexed="64"/>
      </bottom>
      <diagonal/>
    </border>
    <border>
      <left/>
      <right style="thin">
        <color indexed="64"/>
      </right>
      <top style="medium">
        <color indexed="64"/>
      </top>
      <bottom style="thin">
        <color indexed="64"/>
      </bottom>
      <diagonal/>
    </border>
    <border>
      <left/>
      <right style="thin">
        <color rgb="FF002060"/>
      </right>
      <top style="thin">
        <color rgb="FF002060"/>
      </top>
      <bottom style="medium">
        <color rgb="FF002060"/>
      </bottom>
      <diagonal/>
    </border>
    <border>
      <left style="thin">
        <color indexed="64"/>
      </left>
      <right/>
      <top style="thin">
        <color rgb="FF002060"/>
      </top>
      <bottom style="medium">
        <color rgb="FF002060"/>
      </bottom>
      <diagonal/>
    </border>
  </borders>
  <cellStyleXfs count="1">
    <xf numFmtId="0" fontId="0" fillId="0" borderId="0"/>
  </cellStyleXfs>
  <cellXfs count="938">
    <xf numFmtId="0" fontId="0" fillId="0" borderId="0" xfId="0"/>
    <xf numFmtId="0" fontId="2" fillId="0" borderId="0" xfId="0" applyFont="1" applyBorder="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horizontal="left" vertical="center"/>
    </xf>
    <xf numFmtId="0" fontId="2" fillId="0" borderId="0" xfId="0" applyNumberFormat="1" applyFont="1" applyBorder="1" applyAlignment="1">
      <alignment vertical="center"/>
    </xf>
    <xf numFmtId="0" fontId="6" fillId="0" borderId="0" xfId="0" applyFont="1" applyAlignment="1">
      <alignment vertical="center"/>
    </xf>
    <xf numFmtId="0" fontId="3" fillId="0" borderId="0"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vertical="top" wrapText="1"/>
    </xf>
    <xf numFmtId="0" fontId="5" fillId="4" borderId="0" xfId="0" applyFont="1" applyFill="1" applyAlignment="1">
      <alignment vertical="center"/>
    </xf>
    <xf numFmtId="0" fontId="3" fillId="0" borderId="0" xfId="0" applyFont="1"/>
    <xf numFmtId="0" fontId="3" fillId="0" borderId="38" xfId="0" applyFont="1" applyFill="1" applyBorder="1" applyAlignment="1">
      <alignment horizontal="center" textRotation="90"/>
    </xf>
    <xf numFmtId="0" fontId="3" fillId="0" borderId="55" xfId="0" applyFont="1" applyFill="1" applyBorder="1" applyAlignment="1">
      <alignment horizontal="left"/>
    </xf>
    <xf numFmtId="0" fontId="3" fillId="0" borderId="3" xfId="0" applyFont="1" applyFill="1" applyBorder="1" applyAlignment="1">
      <alignment horizontal="left"/>
    </xf>
    <xf numFmtId="0" fontId="3" fillId="6" borderId="55" xfId="0" applyFont="1" applyFill="1" applyBorder="1" applyAlignment="1">
      <alignment horizontal="left"/>
    </xf>
    <xf numFmtId="165" fontId="3" fillId="0" borderId="32" xfId="0" applyNumberFormat="1" applyFont="1" applyFill="1" applyBorder="1" applyAlignment="1">
      <alignment horizontal="left"/>
    </xf>
    <xf numFmtId="0" fontId="3" fillId="0" borderId="10" xfId="0" applyFont="1" applyFill="1" applyBorder="1" applyAlignment="1">
      <alignment horizontal="left"/>
    </xf>
    <xf numFmtId="0" fontId="3" fillId="7" borderId="32" xfId="0" applyFont="1" applyFill="1" applyBorder="1" applyAlignment="1">
      <alignment horizontal="left"/>
    </xf>
    <xf numFmtId="0" fontId="3" fillId="3" borderId="32" xfId="0" applyFont="1" applyFill="1" applyBorder="1" applyAlignment="1">
      <alignment horizontal="left"/>
    </xf>
    <xf numFmtId="0" fontId="3" fillId="0" borderId="32" xfId="0" applyFont="1" applyFill="1" applyBorder="1" applyAlignment="1">
      <alignment horizontal="left"/>
    </xf>
    <xf numFmtId="0" fontId="3" fillId="9" borderId="32" xfId="0" applyFont="1" applyFill="1" applyBorder="1" applyAlignment="1">
      <alignment horizontal="left"/>
    </xf>
    <xf numFmtId="0" fontId="3" fillId="12" borderId="32" xfId="0" quotePrefix="1" applyFont="1" applyFill="1" applyBorder="1" applyAlignment="1">
      <alignment horizontal="left"/>
    </xf>
    <xf numFmtId="0" fontId="3" fillId="12" borderId="32" xfId="0" applyFont="1" applyFill="1" applyBorder="1" applyAlignment="1">
      <alignment horizontal="left"/>
    </xf>
    <xf numFmtId="0" fontId="3" fillId="10" borderId="32" xfId="0" applyFont="1" applyFill="1" applyBorder="1" applyAlignment="1">
      <alignment horizontal="left"/>
    </xf>
    <xf numFmtId="0" fontId="3" fillId="8" borderId="32" xfId="0" applyFont="1" applyFill="1" applyBorder="1" applyAlignment="1">
      <alignment horizontal="left"/>
    </xf>
    <xf numFmtId="0" fontId="3" fillId="15" borderId="32" xfId="0" applyFont="1" applyFill="1" applyBorder="1" applyAlignment="1">
      <alignment horizontal="left"/>
    </xf>
    <xf numFmtId="0" fontId="3" fillId="17" borderId="32" xfId="0" applyFont="1" applyFill="1" applyBorder="1" applyAlignment="1">
      <alignment horizontal="left"/>
    </xf>
    <xf numFmtId="0" fontId="3" fillId="11" borderId="32" xfId="0" applyFont="1" applyFill="1" applyBorder="1" applyAlignment="1">
      <alignment horizontal="left"/>
    </xf>
    <xf numFmtId="0" fontId="3" fillId="13" borderId="32" xfId="0" applyFont="1" applyFill="1" applyBorder="1" applyAlignment="1">
      <alignment horizontal="left"/>
    </xf>
    <xf numFmtId="0" fontId="3" fillId="0" borderId="57" xfId="0" applyFont="1" applyBorder="1"/>
    <xf numFmtId="0" fontId="3" fillId="0" borderId="30" xfId="0" applyFont="1" applyBorder="1"/>
    <xf numFmtId="0" fontId="3" fillId="0" borderId="57" xfId="0" applyFont="1" applyFill="1" applyBorder="1" applyAlignment="1">
      <alignment horizontal="left"/>
    </xf>
    <xf numFmtId="0" fontId="3" fillId="0" borderId="0" xfId="0" applyFont="1" applyAlignment="1">
      <alignment horizontal="center"/>
    </xf>
    <xf numFmtId="0" fontId="3" fillId="0" borderId="2" xfId="0" applyFont="1" applyFill="1" applyBorder="1" applyAlignment="1">
      <alignment horizontal="left"/>
    </xf>
    <xf numFmtId="0" fontId="3" fillId="0" borderId="9" xfId="0" applyFont="1" applyFill="1" applyBorder="1" applyAlignment="1">
      <alignment horizontal="left"/>
    </xf>
    <xf numFmtId="2" fontId="3" fillId="0" borderId="9" xfId="0" applyNumberFormat="1" applyFont="1" applyFill="1" applyBorder="1" applyAlignment="1">
      <alignment horizontal="left"/>
    </xf>
    <xf numFmtId="0" fontId="3" fillId="0" borderId="29" xfId="0" applyFont="1" applyFill="1" applyBorder="1" applyAlignment="1">
      <alignment horizontal="left"/>
    </xf>
    <xf numFmtId="49" fontId="3" fillId="0" borderId="55" xfId="0" applyNumberFormat="1" applyFont="1" applyFill="1" applyBorder="1" applyAlignment="1">
      <alignment horizontal="center"/>
    </xf>
    <xf numFmtId="0" fontId="3" fillId="0" borderId="55" xfId="0" applyFont="1" applyFill="1" applyBorder="1" applyAlignment="1">
      <alignment horizontal="center"/>
    </xf>
    <xf numFmtId="0" fontId="3" fillId="0" borderId="55" xfId="0" applyFont="1" applyFill="1" applyBorder="1" applyAlignment="1">
      <alignment horizontal="center" vertical="center"/>
    </xf>
    <xf numFmtId="49" fontId="3" fillId="0" borderId="32" xfId="0" applyNumberFormat="1" applyFont="1" applyFill="1" applyBorder="1" applyAlignment="1">
      <alignment horizontal="center"/>
    </xf>
    <xf numFmtId="0" fontId="3" fillId="0" borderId="32" xfId="0" applyFont="1" applyFill="1" applyBorder="1" applyAlignment="1">
      <alignment horizontal="center"/>
    </xf>
    <xf numFmtId="0" fontId="3" fillId="0" borderId="32" xfId="0" applyFont="1" applyFill="1" applyBorder="1" applyAlignment="1">
      <alignment horizontal="center" vertical="center"/>
    </xf>
    <xf numFmtId="49" fontId="3" fillId="0" borderId="57" xfId="0" applyNumberFormat="1" applyFont="1" applyFill="1" applyBorder="1" applyAlignment="1">
      <alignment horizontal="center"/>
    </xf>
    <xf numFmtId="0" fontId="3" fillId="0" borderId="57" xfId="0" applyFont="1" applyFill="1" applyBorder="1" applyAlignment="1">
      <alignment horizontal="center"/>
    </xf>
    <xf numFmtId="0" fontId="3" fillId="0" borderId="57" xfId="0" applyFont="1" applyFill="1" applyBorder="1" applyAlignment="1">
      <alignment horizontal="center" vertical="center"/>
    </xf>
    <xf numFmtId="0" fontId="3" fillId="0" borderId="22" xfId="0" applyFont="1" applyFill="1" applyBorder="1" applyAlignment="1">
      <alignment horizontal="left"/>
    </xf>
    <xf numFmtId="165" fontId="3" fillId="0" borderId="18" xfId="0" applyNumberFormat="1" applyFont="1" applyFill="1" applyBorder="1" applyAlignment="1">
      <alignment horizontal="left"/>
    </xf>
    <xf numFmtId="0" fontId="3" fillId="0" borderId="18" xfId="0" applyFont="1" applyFill="1" applyBorder="1" applyAlignment="1">
      <alignment horizontal="left"/>
    </xf>
    <xf numFmtId="0" fontId="3" fillId="0" borderId="59" xfId="0" applyFont="1" applyBorder="1"/>
    <xf numFmtId="0" fontId="3" fillId="0" borderId="30" xfId="0" applyFont="1" applyFill="1" applyBorder="1" applyAlignment="1">
      <alignment horizontal="left"/>
    </xf>
    <xf numFmtId="0" fontId="3" fillId="0" borderId="2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3" xfId="0" applyFont="1" applyFill="1" applyBorder="1" applyAlignment="1">
      <alignment horizontal="center"/>
    </xf>
    <xf numFmtId="0" fontId="3" fillId="0" borderId="19" xfId="0" applyFont="1" applyFill="1" applyBorder="1" applyAlignment="1">
      <alignment horizontal="center"/>
    </xf>
    <xf numFmtId="0" fontId="3" fillId="0" borderId="31" xfId="0" applyFont="1" applyFill="1" applyBorder="1" applyAlignment="1">
      <alignment horizontal="center"/>
    </xf>
    <xf numFmtId="0" fontId="3" fillId="0" borderId="18" xfId="0" applyFont="1" applyFill="1" applyBorder="1" applyAlignment="1">
      <alignment horizontal="center"/>
    </xf>
    <xf numFmtId="0" fontId="3" fillId="6" borderId="2" xfId="0" applyFont="1" applyFill="1" applyBorder="1" applyAlignment="1">
      <alignment horizontal="left"/>
    </xf>
    <xf numFmtId="0" fontId="3" fillId="7" borderId="9" xfId="0" applyFont="1" applyFill="1" applyBorder="1" applyAlignment="1">
      <alignment horizontal="left"/>
    </xf>
    <xf numFmtId="0" fontId="3" fillId="9" borderId="9" xfId="0" applyFont="1" applyFill="1" applyBorder="1" applyAlignment="1">
      <alignment horizontal="left"/>
    </xf>
    <xf numFmtId="0" fontId="3" fillId="12" borderId="9" xfId="0" quotePrefix="1" applyFont="1" applyFill="1" applyBorder="1" applyAlignment="1">
      <alignment horizontal="left"/>
    </xf>
    <xf numFmtId="0" fontId="3" fillId="10" borderId="9" xfId="0" quotePrefix="1" applyFont="1" applyFill="1" applyBorder="1" applyAlignment="1">
      <alignment horizontal="left"/>
    </xf>
    <xf numFmtId="0" fontId="3" fillId="10" borderId="32" xfId="0" quotePrefix="1" applyFont="1" applyFill="1" applyBorder="1" applyAlignment="1">
      <alignment horizontal="left"/>
    </xf>
    <xf numFmtId="0" fontId="3" fillId="8" borderId="9" xfId="0" applyFont="1" applyFill="1" applyBorder="1" applyAlignment="1">
      <alignment horizontal="left"/>
    </xf>
    <xf numFmtId="0" fontId="3" fillId="11" borderId="9" xfId="0" applyFont="1" applyFill="1" applyBorder="1" applyAlignment="1">
      <alignment horizontal="left"/>
    </xf>
    <xf numFmtId="0" fontId="3" fillId="13" borderId="9" xfId="0" applyFont="1" applyFill="1" applyBorder="1" applyAlignment="1">
      <alignment horizontal="left"/>
    </xf>
    <xf numFmtId="0" fontId="3" fillId="10" borderId="9" xfId="0" applyFont="1" applyFill="1" applyBorder="1" applyAlignment="1">
      <alignment horizontal="left"/>
    </xf>
    <xf numFmtId="0" fontId="3" fillId="16" borderId="32" xfId="0" applyFont="1" applyFill="1" applyBorder="1" applyAlignment="1">
      <alignment horizontal="left"/>
    </xf>
    <xf numFmtId="0" fontId="3" fillId="14" borderId="32" xfId="0" applyFont="1" applyFill="1" applyBorder="1" applyAlignment="1">
      <alignment horizontal="left"/>
    </xf>
    <xf numFmtId="165" fontId="3" fillId="0" borderId="10" xfId="0" applyNumberFormat="1" applyFont="1" applyFill="1" applyBorder="1" applyAlignment="1">
      <alignment horizontal="left"/>
    </xf>
    <xf numFmtId="14" fontId="3" fillId="0" borderId="32" xfId="0" applyNumberFormat="1" applyFont="1" applyFill="1" applyBorder="1" applyAlignment="1">
      <alignment horizontal="left"/>
    </xf>
    <xf numFmtId="0" fontId="3" fillId="0" borderId="32" xfId="0" quotePrefix="1" applyFont="1" applyFill="1" applyBorder="1" applyAlignment="1">
      <alignment horizontal="center" vertical="center"/>
    </xf>
    <xf numFmtId="0" fontId="3" fillId="9" borderId="32" xfId="0" quotePrefix="1" applyFont="1" applyFill="1" applyBorder="1" applyAlignment="1">
      <alignment horizontal="left"/>
    </xf>
    <xf numFmtId="0" fontId="3" fillId="0" borderId="23" xfId="0" applyFont="1" applyFill="1" applyBorder="1" applyAlignment="1">
      <alignment horizontal="left"/>
    </xf>
    <xf numFmtId="0" fontId="3" fillId="0" borderId="19" xfId="0" applyFont="1" applyFill="1" applyBorder="1" applyAlignment="1">
      <alignment horizontal="left"/>
    </xf>
    <xf numFmtId="0" fontId="3" fillId="0" borderId="31" xfId="0" applyFont="1" applyBorder="1"/>
    <xf numFmtId="165" fontId="3" fillId="0" borderId="2" xfId="0" applyNumberFormat="1" applyFont="1" applyFill="1" applyBorder="1" applyAlignment="1">
      <alignment horizontal="left"/>
    </xf>
    <xf numFmtId="165" fontId="3" fillId="0" borderId="9" xfId="0" applyNumberFormat="1" applyFont="1" applyFill="1" applyBorder="1" applyAlignment="1">
      <alignment horizontal="left"/>
    </xf>
    <xf numFmtId="0" fontId="3" fillId="0" borderId="29" xfId="0" applyFont="1" applyBorder="1"/>
    <xf numFmtId="0" fontId="5" fillId="4" borderId="0" xfId="0" applyFont="1" applyFill="1" applyBorder="1" applyAlignment="1">
      <alignment vertical="top" wrapText="1"/>
    </xf>
    <xf numFmtId="0" fontId="5" fillId="4" borderId="0" xfId="0" applyFont="1" applyFill="1" applyAlignment="1">
      <alignment horizontal="left" vertical="top" wrapText="1"/>
    </xf>
    <xf numFmtId="0" fontId="3" fillId="0" borderId="31" xfId="0" applyFont="1" applyFill="1" applyBorder="1" applyAlignment="1">
      <alignment horizontal="left"/>
    </xf>
    <xf numFmtId="0" fontId="7" fillId="0" borderId="0" xfId="0" applyFont="1" applyAlignment="1">
      <alignment vertical="center"/>
    </xf>
    <xf numFmtId="0" fontId="11" fillId="5" borderId="66" xfId="0" quotePrefix="1" applyFont="1" applyFill="1" applyBorder="1" applyAlignment="1">
      <alignment horizontal="left" vertical="center" wrapText="1"/>
    </xf>
    <xf numFmtId="0" fontId="11" fillId="5" borderId="67" xfId="0" quotePrefix="1" applyFont="1" applyFill="1" applyBorder="1" applyAlignment="1">
      <alignment horizontal="left" vertical="center" wrapText="1"/>
    </xf>
    <xf numFmtId="0" fontId="3" fillId="0" borderId="33" xfId="0" applyFont="1" applyFill="1" applyBorder="1" applyAlignment="1">
      <alignment horizontal="center" textRotation="90"/>
    </xf>
    <xf numFmtId="0" fontId="3" fillId="4" borderId="42" xfId="0" applyFont="1" applyFill="1" applyBorder="1" applyAlignment="1">
      <alignment vertical="center"/>
    </xf>
    <xf numFmtId="0" fontId="3" fillId="4" borderId="0" xfId="0" applyFont="1" applyFill="1" applyBorder="1" applyAlignment="1">
      <alignment vertical="center"/>
    </xf>
    <xf numFmtId="0" fontId="2" fillId="4" borderId="0" xfId="0" applyNumberFormat="1" applyFont="1" applyFill="1" applyBorder="1" applyAlignment="1" applyProtection="1">
      <alignment horizontal="left" vertical="center"/>
    </xf>
    <xf numFmtId="0" fontId="3" fillId="18" borderId="42" xfId="0" applyFont="1" applyFill="1" applyBorder="1" applyAlignment="1">
      <alignment vertical="center"/>
    </xf>
    <xf numFmtId="0" fontId="3" fillId="18" borderId="0" xfId="0" applyFont="1" applyFill="1" applyBorder="1" applyAlignment="1">
      <alignment vertical="center"/>
    </xf>
    <xf numFmtId="0" fontId="3" fillId="18" borderId="65" xfId="0" applyFont="1" applyFill="1" applyBorder="1" applyAlignment="1">
      <alignment vertical="center"/>
    </xf>
    <xf numFmtId="0" fontId="3" fillId="4" borderId="0" xfId="0" applyFont="1" applyFill="1" applyBorder="1" applyAlignment="1">
      <alignment horizontal="left" vertical="center"/>
    </xf>
    <xf numFmtId="0" fontId="3" fillId="18" borderId="0" xfId="0" applyFont="1" applyFill="1" applyBorder="1" applyAlignment="1">
      <alignment horizontal="left" vertical="center"/>
    </xf>
    <xf numFmtId="0" fontId="3" fillId="4" borderId="65" xfId="0" applyFont="1" applyFill="1" applyBorder="1" applyAlignment="1">
      <alignment vertical="center"/>
    </xf>
    <xf numFmtId="0" fontId="14" fillId="5" borderId="46" xfId="0" applyFont="1" applyFill="1" applyBorder="1" applyAlignment="1">
      <alignment vertical="center"/>
    </xf>
    <xf numFmtId="0" fontId="14" fillId="5" borderId="47" xfId="0" applyFont="1" applyFill="1" applyBorder="1" applyAlignment="1">
      <alignment vertical="center"/>
    </xf>
    <xf numFmtId="0" fontId="14" fillId="5" borderId="52" xfId="0" applyFont="1" applyFill="1" applyBorder="1" applyAlignment="1">
      <alignment vertical="center"/>
    </xf>
    <xf numFmtId="0" fontId="14" fillId="5" borderId="53" xfId="0" applyFont="1" applyFill="1" applyBorder="1" applyAlignment="1">
      <alignment vertical="center"/>
    </xf>
    <xf numFmtId="0" fontId="15" fillId="5" borderId="53" xfId="0" applyFont="1" applyFill="1" applyBorder="1" applyAlignment="1">
      <alignment vertical="center"/>
    </xf>
    <xf numFmtId="0" fontId="15" fillId="5" borderId="54" xfId="0" applyFont="1" applyFill="1" applyBorder="1" applyAlignment="1">
      <alignment vertical="center"/>
    </xf>
    <xf numFmtId="0" fontId="2" fillId="4" borderId="51" xfId="0" quotePrefix="1" applyFont="1" applyFill="1" applyBorder="1" applyAlignment="1">
      <alignment horizontal="left" vertical="center" wrapText="1"/>
    </xf>
    <xf numFmtId="0" fontId="3" fillId="4" borderId="68" xfId="0" applyFont="1" applyFill="1" applyBorder="1" applyAlignment="1">
      <alignment horizontal="left" vertical="top"/>
    </xf>
    <xf numFmtId="0" fontId="3" fillId="18" borderId="68" xfId="0" applyFont="1" applyFill="1" applyBorder="1" applyAlignment="1">
      <alignment horizontal="left" vertical="top"/>
    </xf>
    <xf numFmtId="0" fontId="7" fillId="5" borderId="47" xfId="0" quotePrefix="1" applyFont="1" applyFill="1" applyBorder="1" applyAlignment="1">
      <alignment horizontal="left" vertical="center" wrapText="1"/>
    </xf>
    <xf numFmtId="0" fontId="2" fillId="4" borderId="53" xfId="0" applyNumberFormat="1" applyFont="1" applyFill="1" applyBorder="1" applyAlignment="1" applyProtection="1">
      <alignment horizontal="left" vertical="center"/>
    </xf>
    <xf numFmtId="0" fontId="3" fillId="4" borderId="53" xfId="0" applyFont="1" applyFill="1" applyBorder="1" applyAlignment="1">
      <alignment vertical="center"/>
    </xf>
    <xf numFmtId="0" fontId="3" fillId="0" borderId="53" xfId="0" applyFont="1" applyBorder="1" applyAlignment="1">
      <alignment vertical="center"/>
    </xf>
    <xf numFmtId="0" fontId="3" fillId="4" borderId="53" xfId="0" applyFont="1" applyFill="1" applyBorder="1" applyAlignment="1">
      <alignment horizontal="left" vertical="center"/>
    </xf>
    <xf numFmtId="0" fontId="3" fillId="18" borderId="49" xfId="0" applyFont="1" applyFill="1" applyBorder="1" applyAlignment="1">
      <alignment vertical="center"/>
    </xf>
    <xf numFmtId="0" fontId="3" fillId="18" borderId="50" xfId="0" applyFont="1" applyFill="1" applyBorder="1" applyAlignment="1">
      <alignment vertical="center"/>
    </xf>
    <xf numFmtId="0" fontId="3" fillId="18" borderId="50" xfId="0" applyFont="1" applyFill="1" applyBorder="1" applyAlignment="1">
      <alignment horizontal="left" vertical="center"/>
    </xf>
    <xf numFmtId="0" fontId="3" fillId="4" borderId="60" xfId="0" applyFont="1" applyFill="1" applyBorder="1" applyAlignment="1">
      <alignment vertical="center"/>
    </xf>
    <xf numFmtId="0" fontId="3" fillId="4" borderId="36" xfId="0" applyFont="1" applyFill="1" applyBorder="1" applyAlignment="1">
      <alignment vertical="center"/>
    </xf>
    <xf numFmtId="0" fontId="3" fillId="4" borderId="80" xfId="0" applyFont="1" applyFill="1" applyBorder="1" applyAlignment="1">
      <alignment vertical="center"/>
    </xf>
    <xf numFmtId="0" fontId="3" fillId="21" borderId="16" xfId="0" applyFont="1" applyFill="1" applyBorder="1" applyAlignment="1">
      <alignment horizontal="center" vertical="center" wrapText="1"/>
    </xf>
    <xf numFmtId="0" fontId="3" fillId="21" borderId="58" xfId="0" applyFont="1" applyFill="1" applyBorder="1" applyAlignment="1">
      <alignment horizontal="center" vertical="center" wrapText="1"/>
    </xf>
    <xf numFmtId="0" fontId="3" fillId="21" borderId="14" xfId="0" applyFont="1" applyFill="1" applyBorder="1" applyAlignment="1">
      <alignment horizontal="center" vertical="center" wrapText="1"/>
    </xf>
    <xf numFmtId="0" fontId="3" fillId="21" borderId="15" xfId="0" applyFont="1" applyFill="1" applyBorder="1" applyAlignment="1">
      <alignment horizontal="center" vertical="center" wrapText="1"/>
    </xf>
    <xf numFmtId="0" fontId="3" fillId="21" borderId="38" xfId="0" applyFont="1" applyFill="1" applyBorder="1" applyAlignment="1">
      <alignment horizontal="center" textRotation="90"/>
    </xf>
    <xf numFmtId="0" fontId="3" fillId="21" borderId="9" xfId="0" applyFont="1" applyFill="1" applyBorder="1" applyAlignment="1">
      <alignment horizontal="center" textRotation="90" wrapText="1"/>
    </xf>
    <xf numFmtId="0" fontId="3" fillId="21" borderId="32" xfId="0" applyFont="1" applyFill="1" applyBorder="1" applyAlignment="1">
      <alignment horizontal="center" textRotation="90" wrapText="1"/>
    </xf>
    <xf numFmtId="0" fontId="3" fillId="21" borderId="32" xfId="0" applyFont="1" applyFill="1" applyBorder="1" applyAlignment="1">
      <alignment horizontal="center" textRotation="90"/>
    </xf>
    <xf numFmtId="0" fontId="3" fillId="21" borderId="40" xfId="0" applyFont="1" applyFill="1" applyBorder="1" applyAlignment="1">
      <alignment horizontal="center" textRotation="90" wrapText="1"/>
    </xf>
    <xf numFmtId="0" fontId="3" fillId="21" borderId="41" xfId="0" applyFont="1" applyFill="1" applyBorder="1" applyAlignment="1">
      <alignment horizontal="center" textRotation="90" wrapText="1"/>
    </xf>
    <xf numFmtId="0" fontId="3" fillId="21" borderId="11" xfId="0" applyFont="1" applyFill="1" applyBorder="1" applyAlignment="1">
      <alignment horizontal="center" vertical="center" wrapText="1"/>
    </xf>
    <xf numFmtId="0" fontId="3" fillId="21" borderId="8" xfId="0" applyFont="1" applyFill="1" applyBorder="1" applyAlignment="1">
      <alignment horizontal="center" textRotation="90" wrapText="1"/>
    </xf>
    <xf numFmtId="0" fontId="3" fillId="0" borderId="8" xfId="0" applyFont="1" applyBorder="1" applyAlignment="1" applyProtection="1">
      <alignment vertical="center" wrapText="1"/>
      <protection locked="0"/>
    </xf>
    <xf numFmtId="0" fontId="3" fillId="0" borderId="19" xfId="0" applyFont="1" applyBorder="1" applyAlignment="1" applyProtection="1">
      <alignment horizontal="center" textRotation="90" wrapText="1"/>
      <protection locked="0"/>
    </xf>
    <xf numFmtId="0" fontId="3" fillId="0" borderId="10" xfId="0" applyFont="1" applyBorder="1" applyAlignment="1" applyProtection="1">
      <alignment horizontal="center" textRotation="90" wrapText="1"/>
      <protection locked="0"/>
    </xf>
    <xf numFmtId="0" fontId="3" fillId="22" borderId="14" xfId="0" applyFont="1" applyFill="1" applyBorder="1" applyAlignment="1" applyProtection="1">
      <alignment horizontal="center" vertical="center" wrapText="1"/>
    </xf>
    <xf numFmtId="0" fontId="3" fillId="22" borderId="15" xfId="0" applyFont="1" applyFill="1" applyBorder="1" applyAlignment="1" applyProtection="1">
      <alignment horizontal="center" vertical="center" wrapText="1"/>
    </xf>
    <xf numFmtId="0" fontId="3" fillId="22" borderId="58" xfId="0" applyFont="1" applyFill="1" applyBorder="1" applyAlignment="1">
      <alignment horizontal="center" vertical="center" wrapText="1"/>
    </xf>
    <xf numFmtId="0" fontId="3" fillId="22" borderId="14" xfId="0" applyFont="1" applyFill="1" applyBorder="1" applyAlignment="1">
      <alignment horizontal="center" vertical="center" wrapText="1"/>
    </xf>
    <xf numFmtId="0" fontId="3" fillId="22" borderId="15" xfId="0" applyFont="1" applyFill="1" applyBorder="1" applyAlignment="1">
      <alignment horizontal="center" vertical="center" wrapText="1"/>
    </xf>
    <xf numFmtId="165" fontId="3" fillId="0" borderId="9" xfId="0" applyNumberFormat="1" applyFont="1" applyFill="1" applyBorder="1" applyAlignment="1" applyProtection="1">
      <alignment horizontal="center"/>
      <protection locked="0"/>
    </xf>
    <xf numFmtId="165" fontId="3" fillId="0" borderId="18" xfId="0" applyNumberFormat="1" applyFont="1" applyFill="1" applyBorder="1" applyAlignment="1" applyProtection="1">
      <alignment horizontal="center"/>
      <protection locked="0"/>
    </xf>
    <xf numFmtId="165" fontId="3" fillId="0" borderId="0" xfId="0" applyNumberFormat="1" applyFont="1" applyFill="1" applyBorder="1" applyAlignment="1" applyProtection="1">
      <alignment horizontal="center"/>
      <protection locked="0"/>
    </xf>
    <xf numFmtId="165" fontId="3" fillId="0" borderId="10" xfId="0" applyNumberFormat="1" applyFont="1" applyFill="1" applyBorder="1" applyAlignment="1" applyProtection="1">
      <alignment horizontal="center"/>
      <protection locked="0"/>
    </xf>
    <xf numFmtId="0" fontId="3" fillId="0" borderId="32" xfId="0" applyFont="1" applyFill="1" applyBorder="1" applyAlignment="1" applyProtection="1">
      <alignment horizontal="center"/>
      <protection locked="0"/>
    </xf>
    <xf numFmtId="0" fontId="3" fillId="0" borderId="19" xfId="0" applyFont="1" applyFill="1" applyBorder="1" applyAlignment="1" applyProtection="1">
      <alignment horizontal="center"/>
      <protection locked="0"/>
    </xf>
    <xf numFmtId="0" fontId="3" fillId="0" borderId="32" xfId="0" applyFont="1" applyFill="1" applyBorder="1" applyAlignment="1" applyProtection="1">
      <alignment horizontal="left"/>
      <protection locked="0"/>
    </xf>
    <xf numFmtId="0" fontId="3" fillId="0" borderId="19" xfId="0" applyFont="1" applyFill="1" applyBorder="1" applyAlignment="1" applyProtection="1">
      <alignment horizontal="left"/>
      <protection locked="0"/>
    </xf>
    <xf numFmtId="0" fontId="3" fillId="0" borderId="10" xfId="0" applyFont="1" applyFill="1" applyBorder="1" applyAlignment="1" applyProtection="1">
      <alignment horizontal="left"/>
      <protection locked="0"/>
    </xf>
    <xf numFmtId="49" fontId="3" fillId="0" borderId="32" xfId="0" applyNumberFormat="1" applyFont="1" applyFill="1" applyBorder="1" applyAlignment="1" applyProtection="1">
      <alignment horizontal="center"/>
      <protection locked="0"/>
    </xf>
    <xf numFmtId="0" fontId="3" fillId="0" borderId="32" xfId="0" applyFont="1" applyFill="1" applyBorder="1" applyAlignment="1" applyProtection="1">
      <alignment horizontal="center" vertical="center"/>
      <protection locked="0"/>
    </xf>
    <xf numFmtId="0" fontId="13" fillId="0" borderId="9" xfId="0" applyFont="1" applyFill="1" applyBorder="1" applyAlignment="1" applyProtection="1">
      <alignment horizontal="left"/>
      <protection locked="0"/>
    </xf>
    <xf numFmtId="0" fontId="13" fillId="0" borderId="32" xfId="0" applyFont="1" applyFill="1" applyBorder="1" applyAlignment="1" applyProtection="1">
      <alignment horizontal="left"/>
      <protection locked="0"/>
    </xf>
    <xf numFmtId="0" fontId="13" fillId="0" borderId="18" xfId="0" applyFont="1" applyFill="1" applyBorder="1" applyAlignment="1" applyProtection="1">
      <alignment horizontal="left"/>
      <protection locked="0"/>
    </xf>
    <xf numFmtId="0" fontId="13" fillId="0" borderId="19" xfId="0" applyFont="1" applyFill="1" applyBorder="1" applyAlignment="1" applyProtection="1">
      <alignment horizontal="left"/>
      <protection locked="0"/>
    </xf>
    <xf numFmtId="165" fontId="3" fillId="0" borderId="10" xfId="0" applyNumberFormat="1" applyFont="1" applyFill="1" applyBorder="1" applyAlignment="1" applyProtection="1">
      <alignment horizontal="left"/>
      <protection locked="0"/>
    </xf>
    <xf numFmtId="0" fontId="3" fillId="0" borderId="18" xfId="0" applyFont="1" applyFill="1" applyBorder="1" applyAlignment="1" applyProtection="1">
      <alignment horizontal="center"/>
      <protection locked="0"/>
    </xf>
    <xf numFmtId="2" fontId="3" fillId="0" borderId="32" xfId="0" applyNumberFormat="1" applyFont="1" applyFill="1" applyBorder="1" applyAlignment="1" applyProtection="1">
      <alignment horizontal="left"/>
      <protection locked="0"/>
    </xf>
    <xf numFmtId="0" fontId="3" fillId="0" borderId="57" xfId="0" applyFont="1" applyFill="1" applyBorder="1" applyAlignment="1" applyProtection="1">
      <alignment horizontal="center"/>
      <protection locked="0"/>
    </xf>
    <xf numFmtId="0" fontId="3" fillId="0" borderId="31" xfId="0" applyFont="1" applyFill="1" applyBorder="1" applyAlignment="1" applyProtection="1">
      <alignment horizontal="center"/>
      <protection locked="0"/>
    </xf>
    <xf numFmtId="0" fontId="3" fillId="0" borderId="57" xfId="0" applyFont="1" applyFill="1" applyBorder="1" applyAlignment="1" applyProtection="1">
      <alignment horizontal="left"/>
      <protection locked="0"/>
    </xf>
    <xf numFmtId="0" fontId="3" fillId="0" borderId="31" xfId="0" applyFont="1" applyFill="1" applyBorder="1" applyAlignment="1" applyProtection="1">
      <alignment horizontal="left"/>
      <protection locked="0"/>
    </xf>
    <xf numFmtId="0" fontId="3" fillId="0" borderId="30" xfId="0" applyFont="1" applyFill="1" applyBorder="1" applyAlignment="1" applyProtection="1">
      <alignment horizontal="left"/>
      <protection locked="0"/>
    </xf>
    <xf numFmtId="165" fontId="3" fillId="0" borderId="29" xfId="0" applyNumberFormat="1" applyFont="1" applyFill="1" applyBorder="1" applyAlignment="1" applyProtection="1">
      <alignment horizontal="center"/>
      <protection locked="0"/>
    </xf>
    <xf numFmtId="165" fontId="3" fillId="0" borderId="59" xfId="0" applyNumberFormat="1" applyFont="1" applyFill="1" applyBorder="1" applyAlignment="1" applyProtection="1">
      <alignment horizontal="center"/>
      <protection locked="0"/>
    </xf>
    <xf numFmtId="165" fontId="3" fillId="0" borderId="82" xfId="0" applyNumberFormat="1" applyFont="1" applyFill="1" applyBorder="1" applyAlignment="1" applyProtection="1">
      <alignment horizontal="center"/>
      <protection locked="0"/>
    </xf>
    <xf numFmtId="165" fontId="3" fillId="0" borderId="30" xfId="0" applyNumberFormat="1" applyFont="1" applyFill="1" applyBorder="1" applyAlignment="1" applyProtection="1">
      <alignment horizontal="center"/>
      <protection locked="0"/>
    </xf>
    <xf numFmtId="0" fontId="3" fillId="0" borderId="29" xfId="0" applyFont="1" applyFill="1" applyBorder="1" applyAlignment="1" applyProtection="1">
      <alignment horizontal="left"/>
      <protection locked="0"/>
    </xf>
    <xf numFmtId="49" fontId="3" fillId="0" borderId="57" xfId="0" applyNumberFormat="1" applyFont="1" applyFill="1" applyBorder="1" applyAlignment="1" applyProtection="1">
      <alignment horizontal="center"/>
      <protection locked="0"/>
    </xf>
    <xf numFmtId="0" fontId="3" fillId="21" borderId="25" xfId="0" applyFont="1" applyFill="1" applyBorder="1" applyAlignment="1">
      <alignment horizontal="center" textRotation="90"/>
    </xf>
    <xf numFmtId="0" fontId="3" fillId="21" borderId="56" xfId="0" applyFont="1" applyFill="1" applyBorder="1" applyAlignment="1">
      <alignment horizontal="center" textRotation="90"/>
    </xf>
    <xf numFmtId="0" fontId="2" fillId="4" borderId="56" xfId="0" applyFont="1" applyFill="1" applyBorder="1" applyAlignment="1" applyProtection="1">
      <alignment horizontal="center" textRotation="90"/>
      <protection locked="0"/>
    </xf>
    <xf numFmtId="0" fontId="3" fillId="4" borderId="28" xfId="0" applyFont="1" applyFill="1" applyBorder="1" applyAlignment="1" applyProtection="1">
      <alignment horizontal="center" textRotation="90"/>
      <protection locked="0"/>
    </xf>
    <xf numFmtId="0" fontId="3" fillId="4" borderId="56" xfId="0" applyFont="1" applyFill="1" applyBorder="1" applyAlignment="1" applyProtection="1">
      <alignment horizontal="center" textRotation="90"/>
      <protection locked="0"/>
    </xf>
    <xf numFmtId="0" fontId="3" fillId="21" borderId="28" xfId="0" applyFont="1" applyFill="1" applyBorder="1" applyAlignment="1">
      <alignment horizontal="center" textRotation="90"/>
    </xf>
    <xf numFmtId="0" fontId="3" fillId="21" borderId="26" xfId="0" applyFont="1" applyFill="1" applyBorder="1" applyAlignment="1">
      <alignment horizontal="center" textRotation="90"/>
    </xf>
    <xf numFmtId="0" fontId="3" fillId="22" borderId="58" xfId="0" applyFont="1" applyFill="1" applyBorder="1" applyAlignment="1" applyProtection="1">
      <alignment horizontal="center" vertical="center" wrapText="1"/>
    </xf>
    <xf numFmtId="0" fontId="3" fillId="22" borderId="4" xfId="0" applyFont="1" applyFill="1" applyBorder="1" applyAlignment="1">
      <alignment vertical="center" wrapText="1"/>
    </xf>
    <xf numFmtId="0" fontId="3" fillId="22" borderId="8" xfId="0" applyFont="1" applyFill="1" applyBorder="1"/>
    <xf numFmtId="0" fontId="3" fillId="22" borderId="24" xfId="0" applyFont="1" applyFill="1" applyBorder="1"/>
    <xf numFmtId="0" fontId="4" fillId="21" borderId="1" xfId="0" applyFont="1" applyFill="1" applyBorder="1" applyAlignment="1">
      <alignment vertical="center"/>
    </xf>
    <xf numFmtId="0" fontId="3" fillId="21" borderId="20" xfId="0" applyFont="1" applyFill="1" applyBorder="1" applyAlignment="1">
      <alignment vertical="center"/>
    </xf>
    <xf numFmtId="0" fontId="3" fillId="21" borderId="21" xfId="0" applyFont="1" applyFill="1" applyBorder="1" applyAlignment="1">
      <alignment vertical="center"/>
    </xf>
    <xf numFmtId="2" fontId="3" fillId="21" borderId="20" xfId="0" applyNumberFormat="1" applyFont="1" applyFill="1" applyBorder="1" applyAlignment="1">
      <alignment vertical="center"/>
    </xf>
    <xf numFmtId="0" fontId="3" fillId="23" borderId="8" xfId="0" applyFont="1" applyFill="1" applyBorder="1" applyAlignment="1">
      <alignment horizontal="center"/>
    </xf>
    <xf numFmtId="0" fontId="3" fillId="23" borderId="29" xfId="0" applyFont="1" applyFill="1" applyBorder="1" applyAlignment="1">
      <alignment horizontal="center"/>
    </xf>
    <xf numFmtId="0" fontId="3" fillId="23" borderId="30" xfId="0" applyFont="1" applyFill="1" applyBorder="1" applyAlignment="1">
      <alignment horizontal="center"/>
    </xf>
    <xf numFmtId="0" fontId="3" fillId="23" borderId="25" xfId="0" applyFont="1" applyFill="1" applyBorder="1" applyAlignment="1">
      <alignment horizontal="center"/>
    </xf>
    <xf numFmtId="0" fontId="3" fillId="23" borderId="26" xfId="0" applyFont="1" applyFill="1" applyBorder="1" applyAlignment="1">
      <alignment horizontal="center"/>
    </xf>
    <xf numFmtId="0" fontId="3" fillId="23" borderId="16" xfId="0" applyFont="1" applyFill="1" applyBorder="1" applyAlignment="1">
      <alignment horizontal="center"/>
    </xf>
    <xf numFmtId="0" fontId="3" fillId="23" borderId="58" xfId="0" applyFont="1" applyFill="1" applyBorder="1" applyAlignment="1">
      <alignment horizontal="center"/>
    </xf>
    <xf numFmtId="0" fontId="3" fillId="23" borderId="14" xfId="0" applyFont="1" applyFill="1" applyBorder="1" applyAlignment="1">
      <alignment horizontal="center"/>
    </xf>
    <xf numFmtId="0" fontId="3" fillId="23" borderId="15" xfId="0" applyFont="1" applyFill="1" applyBorder="1" applyAlignment="1">
      <alignment horizontal="center"/>
    </xf>
    <xf numFmtId="0" fontId="3" fillId="23" borderId="56" xfId="0" applyFont="1" applyFill="1" applyBorder="1" applyAlignment="1">
      <alignment horizontal="center"/>
    </xf>
    <xf numFmtId="0" fontId="3" fillId="23" borderId="28" xfId="0" applyFont="1" applyFill="1" applyBorder="1" applyAlignment="1">
      <alignment horizontal="center"/>
    </xf>
    <xf numFmtId="0" fontId="3" fillId="23" borderId="4" xfId="0" applyFont="1" applyFill="1" applyBorder="1" applyAlignment="1">
      <alignment horizontal="center" vertical="center"/>
    </xf>
    <xf numFmtId="0" fontId="3" fillId="23" borderId="85" xfId="0" applyFont="1" applyFill="1" applyBorder="1" applyAlignment="1">
      <alignment vertical="center"/>
    </xf>
    <xf numFmtId="0" fontId="3" fillId="23" borderId="85" xfId="0" applyFont="1" applyFill="1" applyBorder="1" applyAlignment="1">
      <alignment vertical="center" wrapText="1"/>
    </xf>
    <xf numFmtId="0" fontId="3" fillId="23" borderId="7" xfId="0" applyFont="1" applyFill="1" applyBorder="1" applyAlignment="1">
      <alignment vertical="center" wrapText="1"/>
    </xf>
    <xf numFmtId="0" fontId="3" fillId="23" borderId="83" xfId="0" applyFont="1" applyFill="1" applyBorder="1" applyAlignment="1">
      <alignment vertical="center" wrapText="1"/>
    </xf>
    <xf numFmtId="14" fontId="3" fillId="23" borderId="84" xfId="0" applyNumberFormat="1" applyFont="1" applyFill="1" applyBorder="1" applyAlignment="1">
      <alignment horizontal="center" vertical="center"/>
    </xf>
    <xf numFmtId="14" fontId="3" fillId="23" borderId="85" xfId="0" applyNumberFormat="1" applyFont="1" applyFill="1" applyBorder="1" applyAlignment="1">
      <alignment horizontal="center" vertical="center"/>
    </xf>
    <xf numFmtId="14" fontId="3" fillId="23" borderId="7" xfId="0" applyNumberFormat="1" applyFont="1" applyFill="1" applyBorder="1" applyAlignment="1">
      <alignment horizontal="center" vertical="center"/>
    </xf>
    <xf numFmtId="14" fontId="3" fillId="23" borderId="83" xfId="0" applyNumberFormat="1" applyFont="1" applyFill="1" applyBorder="1" applyAlignment="1">
      <alignment horizontal="center" vertical="center"/>
    </xf>
    <xf numFmtId="0" fontId="3" fillId="23" borderId="84" xfId="0" applyFont="1" applyFill="1" applyBorder="1" applyAlignment="1">
      <alignment horizontal="left" vertical="center"/>
    </xf>
    <xf numFmtId="3" fontId="3" fillId="23" borderId="85" xfId="0" applyNumberFormat="1" applyFont="1" applyFill="1" applyBorder="1" applyAlignment="1">
      <alignment horizontal="center" vertical="center"/>
    </xf>
    <xf numFmtId="14" fontId="3" fillId="23" borderId="84" xfId="0" applyNumberFormat="1" applyFont="1" applyFill="1" applyBorder="1" applyAlignment="1">
      <alignment horizontal="left" vertical="center"/>
    </xf>
    <xf numFmtId="0" fontId="3" fillId="23" borderId="85" xfId="0" applyFont="1" applyFill="1" applyBorder="1" applyAlignment="1">
      <alignment horizontal="left" vertical="center"/>
    </xf>
    <xf numFmtId="164" fontId="3" fillId="23" borderId="85" xfId="0" applyNumberFormat="1" applyFont="1" applyFill="1" applyBorder="1" applyAlignment="1">
      <alignment horizontal="left" vertical="center"/>
    </xf>
    <xf numFmtId="0" fontId="3" fillId="23" borderId="7" xfId="0" applyFont="1" applyFill="1" applyBorder="1" applyAlignment="1">
      <alignment horizontal="left" vertical="center"/>
    </xf>
    <xf numFmtId="0" fontId="3" fillId="23" borderId="83" xfId="0" applyFont="1" applyFill="1" applyBorder="1" applyAlignment="1">
      <alignment horizontal="left" vertical="center"/>
    </xf>
    <xf numFmtId="0" fontId="3" fillId="23" borderId="32" xfId="0" applyFont="1" applyFill="1" applyBorder="1" applyAlignment="1">
      <alignment horizontal="left"/>
    </xf>
    <xf numFmtId="0" fontId="3" fillId="23" borderId="19" xfId="0" applyFont="1" applyFill="1" applyBorder="1" applyAlignment="1">
      <alignment horizontal="left"/>
    </xf>
    <xf numFmtId="0" fontId="3" fillId="23" borderId="10" xfId="0" applyFont="1" applyFill="1" applyBorder="1" applyAlignment="1">
      <alignment horizontal="left"/>
    </xf>
    <xf numFmtId="14" fontId="3" fillId="23" borderId="9" xfId="0" applyNumberFormat="1" applyFont="1" applyFill="1" applyBorder="1" applyAlignment="1">
      <alignment horizontal="center"/>
    </xf>
    <xf numFmtId="14" fontId="3" fillId="23" borderId="32" xfId="0" applyNumberFormat="1" applyFont="1" applyFill="1" applyBorder="1" applyAlignment="1">
      <alignment horizontal="center"/>
    </xf>
    <xf numFmtId="14" fontId="3" fillId="23" borderId="19" xfId="0" applyNumberFormat="1" applyFont="1" applyFill="1" applyBorder="1" applyAlignment="1">
      <alignment horizontal="center"/>
    </xf>
    <xf numFmtId="14" fontId="3" fillId="23" borderId="10" xfId="0" applyNumberFormat="1" applyFont="1" applyFill="1" applyBorder="1" applyAlignment="1">
      <alignment horizontal="center"/>
    </xf>
    <xf numFmtId="0" fontId="3" fillId="23" borderId="9" xfId="0" applyFont="1" applyFill="1" applyBorder="1" applyAlignment="1">
      <alignment horizontal="left"/>
    </xf>
    <xf numFmtId="3" fontId="3" fillId="23" borderId="32" xfId="0" applyNumberFormat="1" applyFont="1" applyFill="1" applyBorder="1" applyAlignment="1">
      <alignment horizontal="center"/>
    </xf>
    <xf numFmtId="0" fontId="3" fillId="23" borderId="32" xfId="0" applyFont="1" applyFill="1" applyBorder="1" applyAlignment="1">
      <alignment horizontal="center" vertical="center"/>
    </xf>
    <xf numFmtId="0" fontId="3" fillId="23" borderId="19" xfId="0" applyFont="1" applyFill="1" applyBorder="1" applyAlignment="1">
      <alignment horizontal="center" vertical="center"/>
    </xf>
    <xf numFmtId="0" fontId="3" fillId="23" borderId="10" xfId="0" applyFont="1" applyFill="1" applyBorder="1" applyAlignment="1">
      <alignment horizontal="center" vertical="center"/>
    </xf>
    <xf numFmtId="164" fontId="2" fillId="23" borderId="9" xfId="0" applyNumberFormat="1" applyFont="1" applyFill="1" applyBorder="1" applyAlignment="1">
      <alignment horizontal="left"/>
    </xf>
    <xf numFmtId="164" fontId="2" fillId="23" borderId="32" xfId="0" applyNumberFormat="1" applyFont="1" applyFill="1" applyBorder="1" applyAlignment="1">
      <alignment horizontal="left"/>
    </xf>
    <xf numFmtId="164" fontId="2" fillId="23" borderId="10" xfId="0" applyNumberFormat="1" applyFont="1" applyFill="1" applyBorder="1" applyAlignment="1">
      <alignment horizontal="left"/>
    </xf>
    <xf numFmtId="0" fontId="3" fillId="23" borderId="27" xfId="0" applyFont="1" applyFill="1" applyBorder="1" applyAlignment="1">
      <alignment horizontal="center"/>
    </xf>
    <xf numFmtId="0" fontId="3" fillId="23" borderId="56" xfId="0" applyFont="1" applyFill="1" applyBorder="1" applyAlignment="1">
      <alignment horizontal="left"/>
    </xf>
    <xf numFmtId="0" fontId="3" fillId="23" borderId="28" xfId="0" applyFont="1" applyFill="1" applyBorder="1" applyAlignment="1">
      <alignment horizontal="left"/>
    </xf>
    <xf numFmtId="0" fontId="3" fillId="23" borderId="26" xfId="0" applyFont="1" applyFill="1" applyBorder="1" applyAlignment="1">
      <alignment horizontal="left"/>
    </xf>
    <xf numFmtId="14" fontId="3" fillId="23" borderId="25" xfId="0" applyNumberFormat="1" applyFont="1" applyFill="1" applyBorder="1" applyAlignment="1">
      <alignment horizontal="center"/>
    </xf>
    <xf numFmtId="14" fontId="3" fillId="23" borderId="56" xfId="0" applyNumberFormat="1" applyFont="1" applyFill="1" applyBorder="1" applyAlignment="1">
      <alignment horizontal="center"/>
    </xf>
    <xf numFmtId="14" fontId="3" fillId="23" borderId="28" xfId="0" applyNumberFormat="1" applyFont="1" applyFill="1" applyBorder="1" applyAlignment="1">
      <alignment horizontal="center"/>
    </xf>
    <xf numFmtId="14" fontId="3" fillId="23" borderId="26" xfId="0" applyNumberFormat="1" applyFont="1" applyFill="1" applyBorder="1" applyAlignment="1">
      <alignment horizontal="center"/>
    </xf>
    <xf numFmtId="0" fontId="3" fillId="23" borderId="25" xfId="0" applyFont="1" applyFill="1" applyBorder="1" applyAlignment="1">
      <alignment horizontal="left"/>
    </xf>
    <xf numFmtId="0" fontId="3" fillId="23" borderId="56" xfId="0" applyFont="1" applyFill="1" applyBorder="1" applyAlignment="1">
      <alignment horizontal="center" vertical="center"/>
    </xf>
    <xf numFmtId="0" fontId="3" fillId="23" borderId="26" xfId="0" applyFont="1" applyFill="1" applyBorder="1" applyAlignment="1">
      <alignment horizontal="center" vertical="center"/>
    </xf>
    <xf numFmtId="164" fontId="2" fillId="23" borderId="25" xfId="0" applyNumberFormat="1" applyFont="1" applyFill="1" applyBorder="1" applyAlignment="1">
      <alignment horizontal="left"/>
    </xf>
    <xf numFmtId="164" fontId="2" fillId="23" borderId="56" xfId="0" applyNumberFormat="1" applyFont="1" applyFill="1" applyBorder="1" applyAlignment="1">
      <alignment horizontal="left"/>
    </xf>
    <xf numFmtId="164" fontId="2" fillId="23" borderId="26" xfId="0" applyNumberFormat="1" applyFont="1" applyFill="1" applyBorder="1" applyAlignment="1">
      <alignment horizontal="left"/>
    </xf>
    <xf numFmtId="0" fontId="3" fillId="0" borderId="32" xfId="0" applyFont="1" applyFill="1" applyBorder="1" applyAlignment="1" applyProtection="1">
      <alignment vertical="center" textRotation="90"/>
      <protection locked="0"/>
    </xf>
    <xf numFmtId="0" fontId="2" fillId="0" borderId="32" xfId="0" applyFont="1" applyFill="1" applyBorder="1" applyAlignment="1" applyProtection="1">
      <alignment vertical="center" textRotation="90"/>
      <protection locked="0"/>
    </xf>
    <xf numFmtId="0" fontId="3" fillId="0" borderId="19" xfId="0" applyFont="1" applyFill="1" applyBorder="1" applyAlignment="1" applyProtection="1">
      <alignment vertical="center" textRotation="90"/>
      <protection locked="0"/>
    </xf>
    <xf numFmtId="0" fontId="3" fillId="24" borderId="9" xfId="0" applyFont="1" applyFill="1" applyBorder="1" applyAlignment="1">
      <alignment horizontal="center" vertical="center"/>
    </xf>
    <xf numFmtId="0" fontId="3" fillId="24" borderId="32" xfId="0" applyFont="1" applyFill="1" applyBorder="1" applyAlignment="1">
      <alignment horizontal="center" vertical="center"/>
    </xf>
    <xf numFmtId="0" fontId="3" fillId="24" borderId="19" xfId="0" applyFont="1" applyFill="1" applyBorder="1" applyAlignment="1">
      <alignment horizontal="center" vertical="center"/>
    </xf>
    <xf numFmtId="0" fontId="3" fillId="24" borderId="10" xfId="0" applyFont="1" applyFill="1" applyBorder="1" applyAlignment="1">
      <alignment horizontal="center" vertical="center"/>
    </xf>
    <xf numFmtId="0" fontId="3" fillId="21" borderId="1" xfId="0" applyFont="1" applyFill="1" applyBorder="1" applyAlignment="1">
      <alignment vertical="center"/>
    </xf>
    <xf numFmtId="0" fontId="4" fillId="21" borderId="5" xfId="0" applyFont="1" applyFill="1" applyBorder="1" applyAlignment="1">
      <alignment vertical="center"/>
    </xf>
    <xf numFmtId="0" fontId="4" fillId="21" borderId="20" xfId="0" applyFont="1" applyFill="1" applyBorder="1" applyAlignment="1">
      <alignment vertical="center"/>
    </xf>
    <xf numFmtId="0" fontId="3" fillId="21" borderId="8" xfId="0" applyFont="1" applyFill="1" applyBorder="1" applyAlignment="1">
      <alignment vertical="center" wrapText="1"/>
    </xf>
    <xf numFmtId="0" fontId="3" fillId="21" borderId="13" xfId="0" applyFont="1" applyFill="1" applyBorder="1" applyAlignment="1">
      <alignment horizontal="center" vertical="center" wrapText="1"/>
    </xf>
    <xf numFmtId="0" fontId="3" fillId="21" borderId="33" xfId="0" applyFont="1" applyFill="1" applyBorder="1" applyAlignment="1">
      <alignment horizontal="center" textRotation="90" wrapText="1"/>
    </xf>
    <xf numFmtId="0" fontId="3" fillId="21" borderId="24" xfId="0" applyFont="1" applyFill="1" applyBorder="1"/>
    <xf numFmtId="0" fontId="3" fillId="23" borderId="9" xfId="0" applyFont="1" applyFill="1" applyBorder="1"/>
    <xf numFmtId="0" fontId="3" fillId="23" borderId="32" xfId="0" applyFont="1" applyFill="1" applyBorder="1"/>
    <xf numFmtId="0" fontId="3" fillId="23" borderId="32" xfId="0" applyFont="1" applyFill="1" applyBorder="1" applyAlignment="1">
      <alignment wrapText="1"/>
    </xf>
    <xf numFmtId="0" fontId="3" fillId="23" borderId="19" xfId="0" applyFont="1" applyFill="1" applyBorder="1" applyAlignment="1">
      <alignment wrapText="1"/>
    </xf>
    <xf numFmtId="0" fontId="3" fillId="23" borderId="10" xfId="0" applyFont="1" applyFill="1" applyBorder="1" applyAlignment="1">
      <alignment wrapText="1"/>
    </xf>
    <xf numFmtId="165" fontId="3" fillId="23" borderId="18" xfId="0" applyNumberFormat="1" applyFont="1" applyFill="1" applyBorder="1" applyAlignment="1">
      <alignment horizontal="left"/>
    </xf>
    <xf numFmtId="165" fontId="3" fillId="23" borderId="32" xfId="0" applyNumberFormat="1" applyFont="1" applyFill="1" applyBorder="1" applyAlignment="1">
      <alignment horizontal="left"/>
    </xf>
    <xf numFmtId="165" fontId="3" fillId="23" borderId="9" xfId="0" applyNumberFormat="1" applyFont="1" applyFill="1" applyBorder="1" applyAlignment="1">
      <alignment horizontal="left"/>
    </xf>
    <xf numFmtId="0" fontId="3" fillId="21" borderId="38" xfId="0" applyFont="1" applyFill="1" applyBorder="1" applyAlignment="1">
      <alignment horizontal="center" textRotation="90" wrapText="1"/>
    </xf>
    <xf numFmtId="0" fontId="10" fillId="22" borderId="8" xfId="0" applyFont="1" applyFill="1" applyBorder="1" applyAlignment="1">
      <alignment horizontal="left" wrapText="1"/>
    </xf>
    <xf numFmtId="0" fontId="19" fillId="21" borderId="1" xfId="0" applyFont="1" applyFill="1" applyBorder="1" applyAlignment="1">
      <alignment vertical="center"/>
    </xf>
    <xf numFmtId="165" fontId="3" fillId="23" borderId="10" xfId="0" applyNumberFormat="1" applyFont="1" applyFill="1" applyBorder="1" applyAlignment="1">
      <alignment horizontal="left"/>
    </xf>
    <xf numFmtId="0" fontId="3" fillId="0" borderId="32" xfId="0" applyFont="1" applyFill="1" applyBorder="1" applyAlignment="1" applyProtection="1">
      <alignment horizontal="left" vertical="center"/>
      <protection locked="0"/>
    </xf>
    <xf numFmtId="0" fontId="3" fillId="0" borderId="57" xfId="0" applyFont="1" applyFill="1" applyBorder="1" applyAlignment="1" applyProtection="1">
      <alignment horizontal="left" vertical="center"/>
      <protection locked="0"/>
    </xf>
    <xf numFmtId="0" fontId="14" fillId="5" borderId="86" xfId="0" applyFont="1" applyFill="1" applyBorder="1" applyAlignment="1">
      <alignment vertical="center"/>
    </xf>
    <xf numFmtId="0" fontId="2" fillId="2" borderId="65" xfId="0" applyNumberFormat="1" applyFont="1" applyFill="1" applyBorder="1" applyAlignment="1" applyProtection="1">
      <alignment horizontal="left" vertical="center"/>
      <protection locked="0"/>
    </xf>
    <xf numFmtId="0" fontId="3" fillId="18" borderId="79" xfId="0" applyFont="1" applyFill="1" applyBorder="1" applyAlignment="1">
      <alignment vertical="center"/>
    </xf>
    <xf numFmtId="0" fontId="14" fillId="5" borderId="87" xfId="0" applyFont="1" applyFill="1" applyBorder="1" applyAlignment="1">
      <alignment vertical="center"/>
    </xf>
    <xf numFmtId="167" fontId="3" fillId="0" borderId="32" xfId="0" applyNumberFormat="1" applyFont="1" applyFill="1" applyBorder="1" applyAlignment="1" applyProtection="1">
      <alignment horizontal="left"/>
      <protection locked="0"/>
    </xf>
    <xf numFmtId="49" fontId="3" fillId="0" borderId="9" xfId="0" applyNumberFormat="1" applyFont="1" applyFill="1" applyBorder="1" applyAlignment="1" applyProtection="1">
      <alignment horizontal="left"/>
      <protection locked="0"/>
    </xf>
    <xf numFmtId="49" fontId="3" fillId="0" borderId="9" xfId="0" quotePrefix="1" applyNumberFormat="1" applyFont="1" applyFill="1" applyBorder="1" applyAlignment="1" applyProtection="1">
      <alignment horizontal="left"/>
      <protection locked="0"/>
    </xf>
    <xf numFmtId="49" fontId="3" fillId="0" borderId="29" xfId="0" applyNumberFormat="1" applyFont="1" applyFill="1" applyBorder="1" applyAlignment="1" applyProtection="1">
      <alignment horizontal="left"/>
      <protection locked="0"/>
    </xf>
    <xf numFmtId="49" fontId="3" fillId="0" borderId="8" xfId="0" applyNumberFormat="1" applyFont="1" applyFill="1" applyBorder="1" applyAlignment="1" applyProtection="1">
      <alignment horizontal="center"/>
      <protection locked="0"/>
    </xf>
    <xf numFmtId="49" fontId="3" fillId="0" borderId="24" xfId="0" applyNumberFormat="1" applyFont="1" applyFill="1" applyBorder="1" applyAlignment="1" applyProtection="1">
      <alignment horizontal="center"/>
      <protection locked="0"/>
    </xf>
    <xf numFmtId="49" fontId="3" fillId="0" borderId="0" xfId="0" applyNumberFormat="1" applyFont="1"/>
    <xf numFmtId="0" fontId="3" fillId="22" borderId="32" xfId="0" applyFont="1" applyFill="1" applyBorder="1" applyAlignment="1" applyProtection="1">
      <alignment horizontal="center" textRotation="90" wrapText="1"/>
    </xf>
    <xf numFmtId="49" fontId="3" fillId="0" borderId="73" xfId="0" applyNumberFormat="1" applyFont="1" applyFill="1" applyBorder="1" applyAlignment="1">
      <alignment horizontal="center"/>
    </xf>
    <xf numFmtId="1" fontId="3" fillId="0" borderId="32" xfId="0" applyNumberFormat="1" applyFont="1" applyFill="1" applyBorder="1" applyAlignment="1" applyProtection="1">
      <alignment horizontal="left"/>
      <protection locked="0"/>
    </xf>
    <xf numFmtId="0" fontId="5" fillId="4" borderId="0" xfId="0" applyFont="1" applyFill="1" applyAlignment="1">
      <alignment vertical="top" wrapText="1"/>
    </xf>
    <xf numFmtId="0" fontId="3" fillId="4" borderId="44" xfId="0" applyFont="1" applyFill="1" applyBorder="1" applyAlignment="1">
      <alignment vertical="center"/>
    </xf>
    <xf numFmtId="0" fontId="3" fillId="4" borderId="45" xfId="0" applyFont="1" applyFill="1" applyBorder="1" applyAlignment="1">
      <alignment vertical="center"/>
    </xf>
    <xf numFmtId="0" fontId="3" fillId="4" borderId="81" xfId="0" applyFont="1" applyFill="1" applyBorder="1" applyAlignment="1">
      <alignment vertical="center"/>
    </xf>
    <xf numFmtId="0" fontId="3" fillId="4" borderId="45" xfId="0" applyFont="1" applyFill="1" applyBorder="1" applyAlignment="1">
      <alignment horizontal="left" vertical="center"/>
    </xf>
    <xf numFmtId="0" fontId="3" fillId="0" borderId="32" xfId="0" applyFont="1" applyFill="1" applyBorder="1" applyAlignment="1" applyProtection="1">
      <alignment vertical="center"/>
      <protection locked="0"/>
    </xf>
    <xf numFmtId="49" fontId="3" fillId="0" borderId="9" xfId="0" applyNumberFormat="1" applyFont="1" applyFill="1" applyBorder="1" applyAlignment="1" applyProtection="1">
      <alignment horizontal="center"/>
      <protection locked="0"/>
    </xf>
    <xf numFmtId="0" fontId="3" fillId="0" borderId="73"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72" xfId="0" applyFont="1" applyFill="1" applyBorder="1" applyAlignment="1">
      <alignment horizontal="center" vertical="center"/>
    </xf>
    <xf numFmtId="0" fontId="3" fillId="21" borderId="8" xfId="0" applyFont="1" applyFill="1" applyBorder="1" applyAlignment="1">
      <alignment horizontal="center"/>
    </xf>
    <xf numFmtId="0" fontId="3" fillId="21" borderId="88" xfId="0" applyFont="1" applyFill="1" applyBorder="1" applyAlignment="1">
      <alignment horizontal="center"/>
    </xf>
    <xf numFmtId="0" fontId="3" fillId="21" borderId="24" xfId="0" applyFont="1" applyFill="1" applyBorder="1" applyAlignment="1">
      <alignment horizontal="center"/>
    </xf>
    <xf numFmtId="0" fontId="3" fillId="22" borderId="1" xfId="0" applyFont="1" applyFill="1" applyBorder="1" applyAlignment="1">
      <alignment horizontal="center"/>
    </xf>
    <xf numFmtId="0" fontId="3" fillId="22" borderId="8" xfId="0" applyFont="1" applyFill="1" applyBorder="1" applyAlignment="1">
      <alignment horizontal="center"/>
    </xf>
    <xf numFmtId="0" fontId="3" fillId="22" borderId="24" xfId="0" applyFont="1" applyFill="1" applyBorder="1" applyAlignment="1">
      <alignment horizontal="center"/>
    </xf>
    <xf numFmtId="0" fontId="3" fillId="20" borderId="9" xfId="0" applyFont="1" applyFill="1" applyBorder="1" applyAlignment="1">
      <alignment horizontal="left"/>
    </xf>
    <xf numFmtId="0" fontId="3" fillId="0" borderId="63" xfId="0" applyFont="1" applyFill="1" applyBorder="1" applyAlignment="1">
      <alignment horizontal="center"/>
    </xf>
    <xf numFmtId="0" fontId="3" fillId="0" borderId="73" xfId="0" applyFont="1" applyFill="1" applyBorder="1" applyAlignment="1">
      <alignment horizontal="center"/>
    </xf>
    <xf numFmtId="0" fontId="3" fillId="0" borderId="74" xfId="0" applyFont="1" applyFill="1" applyBorder="1" applyAlignment="1">
      <alignment horizontal="center"/>
    </xf>
    <xf numFmtId="2" fontId="3" fillId="0" borderId="63" xfId="0" applyNumberFormat="1" applyFont="1" applyFill="1" applyBorder="1" applyAlignment="1">
      <alignment horizontal="left"/>
    </xf>
    <xf numFmtId="0" fontId="3" fillId="0" borderId="73" xfId="0" applyFont="1" applyFill="1" applyBorder="1" applyAlignment="1">
      <alignment horizontal="left"/>
    </xf>
    <xf numFmtId="0" fontId="3" fillId="0" borderId="74" xfId="0" applyFont="1" applyFill="1" applyBorder="1" applyAlignment="1">
      <alignment horizontal="left"/>
    </xf>
    <xf numFmtId="0" fontId="3" fillId="0" borderId="72" xfId="0" applyFont="1" applyFill="1" applyBorder="1" applyAlignment="1">
      <alignment horizontal="left"/>
    </xf>
    <xf numFmtId="165" fontId="3" fillId="0" borderId="64" xfId="0" applyNumberFormat="1" applyFont="1" applyFill="1" applyBorder="1" applyAlignment="1">
      <alignment horizontal="left"/>
    </xf>
    <xf numFmtId="165" fontId="3" fillId="0" borderId="63" xfId="0" applyNumberFormat="1" applyFont="1" applyFill="1" applyBorder="1" applyAlignment="1">
      <alignment horizontal="left"/>
    </xf>
    <xf numFmtId="165" fontId="3" fillId="0" borderId="72" xfId="0" applyNumberFormat="1" applyFont="1" applyFill="1" applyBorder="1" applyAlignment="1">
      <alignment horizontal="left"/>
    </xf>
    <xf numFmtId="0" fontId="3" fillId="0" borderId="63" xfId="0" applyFont="1" applyFill="1" applyBorder="1" applyAlignment="1">
      <alignment horizontal="left"/>
    </xf>
    <xf numFmtId="0" fontId="3" fillId="0" borderId="18" xfId="0" applyFont="1" applyBorder="1"/>
    <xf numFmtId="0" fontId="3" fillId="0" borderId="32" xfId="0" applyFont="1" applyBorder="1"/>
    <xf numFmtId="0" fontId="3" fillId="0" borderId="9" xfId="0" applyFont="1" applyBorder="1"/>
    <xf numFmtId="0" fontId="3" fillId="0" borderId="19" xfId="0" applyFont="1" applyBorder="1"/>
    <xf numFmtId="0" fontId="3" fillId="0" borderId="10" xfId="0" applyFont="1" applyBorder="1"/>
    <xf numFmtId="0" fontId="3" fillId="19" borderId="9" xfId="0" applyFont="1" applyFill="1" applyBorder="1" applyAlignment="1">
      <alignment horizontal="left"/>
    </xf>
    <xf numFmtId="0" fontId="3" fillId="21" borderId="3" xfId="0" applyFont="1" applyFill="1" applyBorder="1" applyAlignment="1" applyProtection="1">
      <alignment horizontal="left"/>
      <protection locked="0"/>
    </xf>
    <xf numFmtId="0" fontId="13" fillId="21" borderId="55" xfId="0" applyFont="1" applyFill="1" applyBorder="1" applyAlignment="1" applyProtection="1">
      <alignment horizontal="left"/>
      <protection locked="0"/>
    </xf>
    <xf numFmtId="0" fontId="13" fillId="21" borderId="23" xfId="0" applyFont="1" applyFill="1" applyBorder="1" applyAlignment="1" applyProtection="1">
      <alignment horizontal="left"/>
      <protection locked="0"/>
    </xf>
    <xf numFmtId="0" fontId="1" fillId="21" borderId="2" xfId="0" applyFont="1" applyFill="1" applyBorder="1" applyAlignment="1" applyProtection="1">
      <alignment horizontal="left"/>
      <protection locked="0"/>
    </xf>
    <xf numFmtId="0" fontId="1" fillId="21" borderId="55" xfId="0" applyFont="1" applyFill="1" applyBorder="1" applyAlignment="1" applyProtection="1">
      <alignment horizontal="left"/>
      <protection locked="0"/>
    </xf>
    <xf numFmtId="0" fontId="2" fillId="0" borderId="9" xfId="0" applyFont="1" applyFill="1" applyBorder="1" applyAlignment="1" applyProtection="1">
      <alignment horizontal="left"/>
      <protection locked="0"/>
    </xf>
    <xf numFmtId="0" fontId="2" fillId="0" borderId="32" xfId="0" applyFont="1" applyFill="1" applyBorder="1" applyAlignment="1" applyProtection="1">
      <alignment horizontal="left"/>
      <protection locked="0"/>
    </xf>
    <xf numFmtId="0" fontId="3" fillId="0" borderId="9" xfId="0" applyFont="1" applyFill="1" applyBorder="1" applyAlignment="1">
      <alignment horizontal="center" vertical="center"/>
    </xf>
    <xf numFmtId="0" fontId="3" fillId="21" borderId="32" xfId="0" applyFont="1" applyFill="1" applyBorder="1" applyAlignment="1" applyProtection="1">
      <alignment horizontal="left"/>
      <protection locked="0"/>
    </xf>
    <xf numFmtId="0" fontId="3" fillId="21" borderId="10" xfId="0" applyFont="1" applyFill="1" applyBorder="1" applyAlignment="1" applyProtection="1">
      <alignment horizontal="left"/>
      <protection locked="0"/>
    </xf>
    <xf numFmtId="0" fontId="13" fillId="21" borderId="9" xfId="0" applyFont="1" applyFill="1" applyBorder="1" applyAlignment="1" applyProtection="1">
      <alignment horizontal="left"/>
      <protection locked="0"/>
    </xf>
    <xf numFmtId="0" fontId="13" fillId="21" borderId="32" xfId="0" applyFont="1" applyFill="1" applyBorder="1" applyAlignment="1" applyProtection="1">
      <alignment horizontal="left"/>
      <protection locked="0"/>
    </xf>
    <xf numFmtId="0" fontId="13" fillId="21" borderId="19" xfId="0" applyFont="1" applyFill="1" applyBorder="1" applyAlignment="1" applyProtection="1">
      <alignment horizontal="left"/>
      <protection locked="0"/>
    </xf>
    <xf numFmtId="0" fontId="1" fillId="21" borderId="9" xfId="0" applyFont="1" applyFill="1" applyBorder="1" applyAlignment="1" applyProtection="1">
      <alignment horizontal="left"/>
      <protection locked="0"/>
    </xf>
    <xf numFmtId="0" fontId="1" fillId="21" borderId="32" xfId="0" applyFont="1" applyFill="1" applyBorder="1" applyAlignment="1" applyProtection="1">
      <alignment horizontal="left"/>
      <protection locked="0"/>
    </xf>
    <xf numFmtId="0" fontId="4" fillId="21" borderId="8" xfId="0" applyFont="1" applyFill="1" applyBorder="1" applyAlignment="1">
      <alignment horizontal="left"/>
    </xf>
    <xf numFmtId="0" fontId="3" fillId="21" borderId="91" xfId="0" applyFont="1" applyFill="1" applyBorder="1" applyAlignment="1" applyProtection="1">
      <alignment horizontal="left"/>
      <protection locked="0"/>
    </xf>
    <xf numFmtId="0" fontId="13" fillId="21" borderId="92" xfId="0" applyFont="1" applyFill="1" applyBorder="1" applyAlignment="1" applyProtection="1">
      <alignment horizontal="left"/>
      <protection locked="0"/>
    </xf>
    <xf numFmtId="0" fontId="13" fillId="21" borderId="93" xfId="0" applyFont="1" applyFill="1" applyBorder="1" applyAlignment="1" applyProtection="1">
      <alignment horizontal="left"/>
      <protection locked="0"/>
    </xf>
    <xf numFmtId="0" fontId="3" fillId="0" borderId="18" xfId="0" applyFont="1" applyFill="1" applyBorder="1" applyAlignment="1">
      <alignment horizontal="center" vertical="center"/>
    </xf>
    <xf numFmtId="0" fontId="3" fillId="24" borderId="8" xfId="0" applyFont="1" applyFill="1" applyBorder="1" applyAlignment="1">
      <alignment horizontal="center" vertical="center"/>
    </xf>
    <xf numFmtId="0" fontId="3" fillId="0" borderId="9" xfId="0" applyFont="1" applyFill="1" applyBorder="1" applyAlignment="1">
      <alignment horizontal="center"/>
    </xf>
    <xf numFmtId="0" fontId="3" fillId="0" borderId="10" xfId="0" applyFont="1" applyFill="1" applyBorder="1" applyAlignment="1">
      <alignment horizontal="center"/>
    </xf>
    <xf numFmtId="0" fontId="3" fillId="0" borderId="72" xfId="0" applyFont="1" applyFill="1" applyBorder="1" applyAlignment="1">
      <alignment horizontal="center"/>
    </xf>
    <xf numFmtId="0" fontId="3" fillId="0" borderId="29" xfId="0" applyFont="1" applyFill="1" applyBorder="1" applyAlignment="1">
      <alignment horizontal="center"/>
    </xf>
    <xf numFmtId="0" fontId="3" fillId="0" borderId="30" xfId="0" applyFont="1" applyFill="1" applyBorder="1" applyAlignment="1">
      <alignment horizontal="center"/>
    </xf>
    <xf numFmtId="0" fontId="1" fillId="21" borderId="90" xfId="0" applyFont="1" applyFill="1" applyBorder="1" applyAlignment="1" applyProtection="1">
      <alignment horizontal="left"/>
      <protection locked="0"/>
    </xf>
    <xf numFmtId="0" fontId="1" fillId="21" borderId="92" xfId="0" applyFont="1" applyFill="1" applyBorder="1" applyAlignment="1" applyProtection="1">
      <alignment horizontal="left"/>
      <protection locked="0"/>
    </xf>
    <xf numFmtId="0" fontId="2" fillId="0" borderId="9" xfId="0" quotePrefix="1" applyFont="1" applyFill="1" applyBorder="1" applyAlignment="1" applyProtection="1">
      <alignment horizontal="left"/>
      <protection locked="0"/>
    </xf>
    <xf numFmtId="0" fontId="2" fillId="0" borderId="32" xfId="0" quotePrefix="1" applyFont="1" applyFill="1" applyBorder="1" applyAlignment="1" applyProtection="1">
      <alignment horizontal="left"/>
      <protection locked="0"/>
    </xf>
    <xf numFmtId="0" fontId="2" fillId="0" borderId="18" xfId="0" applyFont="1" applyFill="1" applyBorder="1" applyAlignment="1" applyProtection="1">
      <alignment horizontal="left"/>
      <protection locked="0"/>
    </xf>
    <xf numFmtId="0" fontId="3" fillId="0" borderId="18" xfId="0" applyFont="1" applyFill="1" applyBorder="1" applyAlignment="1" applyProtection="1">
      <alignment horizontal="left"/>
      <protection locked="0"/>
    </xf>
    <xf numFmtId="0" fontId="4" fillId="21" borderId="1" xfId="0" applyFont="1" applyFill="1" applyBorder="1" applyAlignment="1" applyProtection="1">
      <alignment horizontal="left"/>
    </xf>
    <xf numFmtId="0" fontId="3" fillId="21" borderId="2" xfId="0" applyFont="1" applyFill="1" applyBorder="1" applyAlignment="1" applyProtection="1">
      <alignment horizontal="center"/>
    </xf>
    <xf numFmtId="0" fontId="3" fillId="21" borderId="3" xfId="0" applyFont="1" applyFill="1" applyBorder="1" applyAlignment="1" applyProtection="1">
      <alignment horizontal="center"/>
    </xf>
    <xf numFmtId="0" fontId="3" fillId="21" borderId="2" xfId="0" applyFont="1" applyFill="1" applyBorder="1" applyAlignment="1" applyProtection="1">
      <alignment horizontal="center" vertical="center"/>
    </xf>
    <xf numFmtId="0" fontId="3" fillId="21" borderId="55" xfId="0" applyFont="1" applyFill="1" applyBorder="1" applyAlignment="1" applyProtection="1">
      <alignment horizontal="center" vertical="center"/>
    </xf>
    <xf numFmtId="0" fontId="3" fillId="21" borderId="55" xfId="0" applyFont="1" applyFill="1" applyBorder="1" applyAlignment="1" applyProtection="1">
      <alignment horizontal="center"/>
    </xf>
    <xf numFmtId="0" fontId="3" fillId="21" borderId="23" xfId="0" applyFont="1" applyFill="1" applyBorder="1" applyAlignment="1" applyProtection="1">
      <alignment horizontal="center"/>
    </xf>
    <xf numFmtId="0" fontId="3" fillId="21" borderId="23" xfId="0" applyFont="1" applyFill="1" applyBorder="1" applyAlignment="1" applyProtection="1">
      <alignment horizontal="center" vertical="center"/>
    </xf>
    <xf numFmtId="0" fontId="3" fillId="21" borderId="3" xfId="0" applyFont="1" applyFill="1" applyBorder="1" applyAlignment="1" applyProtection="1">
      <alignment horizontal="center" vertical="center"/>
    </xf>
    <xf numFmtId="49" fontId="3" fillId="21" borderId="1" xfId="0" applyNumberFormat="1" applyFont="1" applyFill="1" applyBorder="1" applyAlignment="1" applyProtection="1">
      <alignment horizontal="center"/>
    </xf>
    <xf numFmtId="2" fontId="3" fillId="21" borderId="55" xfId="0" applyNumberFormat="1" applyFont="1" applyFill="1" applyBorder="1" applyAlignment="1" applyProtection="1">
      <alignment horizontal="left"/>
    </xf>
    <xf numFmtId="0" fontId="3" fillId="21" borderId="55" xfId="0" applyFont="1" applyFill="1" applyBorder="1" applyAlignment="1" applyProtection="1">
      <alignment horizontal="left"/>
    </xf>
    <xf numFmtId="0" fontId="4" fillId="21" borderId="89" xfId="0" applyFont="1" applyFill="1" applyBorder="1" applyAlignment="1" applyProtection="1">
      <alignment horizontal="left"/>
    </xf>
    <xf numFmtId="0" fontId="3" fillId="21" borderId="90" xfId="0" applyFont="1" applyFill="1" applyBorder="1" applyAlignment="1" applyProtection="1">
      <alignment horizontal="center"/>
    </xf>
    <xf numFmtId="0" fontId="3" fillId="21" borderId="91" xfId="0" applyFont="1" applyFill="1" applyBorder="1" applyAlignment="1" applyProtection="1">
      <alignment horizontal="center"/>
    </xf>
    <xf numFmtId="0" fontId="3" fillId="21" borderId="90" xfId="0" applyFont="1" applyFill="1" applyBorder="1" applyAlignment="1" applyProtection="1">
      <alignment horizontal="center" vertical="center"/>
    </xf>
    <xf numFmtId="0" fontId="3" fillId="21" borderId="92" xfId="0" applyFont="1" applyFill="1" applyBorder="1" applyAlignment="1" applyProtection="1">
      <alignment horizontal="center" vertical="center"/>
    </xf>
    <xf numFmtId="0" fontId="3" fillId="21" borderId="92" xfId="0" applyFont="1" applyFill="1" applyBorder="1" applyAlignment="1" applyProtection="1">
      <alignment horizontal="center"/>
    </xf>
    <xf numFmtId="0" fontId="3" fillId="21" borderId="93" xfId="0" applyFont="1" applyFill="1" applyBorder="1" applyAlignment="1" applyProtection="1">
      <alignment horizontal="center"/>
    </xf>
    <xf numFmtId="0" fontId="3" fillId="21" borderId="93" xfId="0" applyFont="1" applyFill="1" applyBorder="1" applyAlignment="1" applyProtection="1">
      <alignment horizontal="center" vertical="center"/>
    </xf>
    <xf numFmtId="0" fontId="3" fillId="21" borderId="91" xfId="0" applyFont="1" applyFill="1" applyBorder="1" applyAlignment="1" applyProtection="1">
      <alignment horizontal="center" vertical="center"/>
    </xf>
    <xf numFmtId="49" fontId="3" fillId="21" borderId="89" xfId="0" applyNumberFormat="1" applyFont="1" applyFill="1" applyBorder="1" applyAlignment="1" applyProtection="1">
      <alignment horizontal="center"/>
    </xf>
    <xf numFmtId="2" fontId="3" fillId="21" borderId="92" xfId="0" applyNumberFormat="1" applyFont="1" applyFill="1" applyBorder="1" applyAlignment="1" applyProtection="1">
      <alignment horizontal="left"/>
    </xf>
    <xf numFmtId="0" fontId="3" fillId="21" borderId="92" xfId="0" applyFont="1" applyFill="1" applyBorder="1" applyAlignment="1" applyProtection="1">
      <alignment horizontal="left"/>
    </xf>
    <xf numFmtId="0" fontId="3" fillId="21" borderId="93" xfId="0" applyFont="1" applyFill="1" applyBorder="1" applyAlignment="1" applyProtection="1">
      <alignment horizontal="left"/>
    </xf>
    <xf numFmtId="0" fontId="3" fillId="21" borderId="91" xfId="0" applyFont="1" applyFill="1" applyBorder="1" applyAlignment="1" applyProtection="1">
      <alignment horizontal="left"/>
    </xf>
    <xf numFmtId="165" fontId="3" fillId="21" borderId="90" xfId="0" applyNumberFormat="1" applyFont="1" applyFill="1" applyBorder="1" applyAlignment="1" applyProtection="1">
      <alignment horizontal="center"/>
    </xf>
    <xf numFmtId="165" fontId="3" fillId="21" borderId="94" xfId="0" applyNumberFormat="1" applyFont="1" applyFill="1" applyBorder="1" applyAlignment="1" applyProtection="1">
      <alignment horizontal="center"/>
    </xf>
    <xf numFmtId="165" fontId="3" fillId="21" borderId="95" xfId="0" applyNumberFormat="1" applyFont="1" applyFill="1" applyBorder="1" applyAlignment="1" applyProtection="1">
      <alignment horizontal="center"/>
    </xf>
    <xf numFmtId="165" fontId="3" fillId="21" borderId="91" xfId="0" applyNumberFormat="1" applyFont="1" applyFill="1" applyBorder="1" applyAlignment="1" applyProtection="1">
      <alignment horizontal="center"/>
    </xf>
    <xf numFmtId="49" fontId="3" fillId="21" borderId="90" xfId="0" applyNumberFormat="1" applyFont="1" applyFill="1" applyBorder="1" applyAlignment="1" applyProtection="1">
      <alignment horizontal="left"/>
    </xf>
    <xf numFmtId="49" fontId="3" fillId="21" borderId="92" xfId="0" applyNumberFormat="1" applyFont="1" applyFill="1" applyBorder="1" applyAlignment="1" applyProtection="1">
      <alignment horizontal="center"/>
    </xf>
    <xf numFmtId="0" fontId="3" fillId="21" borderId="92" xfId="0" applyFont="1" applyFill="1" applyBorder="1" applyAlignment="1" applyProtection="1">
      <alignment horizontal="left" vertical="center"/>
    </xf>
    <xf numFmtId="0" fontId="3" fillId="21" borderId="23" xfId="0" applyFont="1" applyFill="1" applyBorder="1" applyAlignment="1" applyProtection="1">
      <alignment horizontal="left"/>
    </xf>
    <xf numFmtId="0" fontId="3" fillId="21" borderId="3" xfId="0" applyFont="1" applyFill="1" applyBorder="1" applyAlignment="1" applyProtection="1">
      <alignment horizontal="left"/>
    </xf>
    <xf numFmtId="165" fontId="3" fillId="21" borderId="2" xfId="0" applyNumberFormat="1" applyFont="1" applyFill="1" applyBorder="1" applyAlignment="1" applyProtection="1">
      <alignment horizontal="center"/>
    </xf>
    <xf numFmtId="165" fontId="3" fillId="21" borderId="22" xfId="0" applyNumberFormat="1" applyFont="1" applyFill="1" applyBorder="1" applyAlignment="1" applyProtection="1">
      <alignment horizontal="center"/>
    </xf>
    <xf numFmtId="165" fontId="3" fillId="21" borderId="20" xfId="0" applyNumberFormat="1" applyFont="1" applyFill="1" applyBorder="1" applyAlignment="1" applyProtection="1">
      <alignment horizontal="center"/>
    </xf>
    <xf numFmtId="165" fontId="3" fillId="21" borderId="3" xfId="0" applyNumberFormat="1" applyFont="1" applyFill="1" applyBorder="1" applyAlignment="1" applyProtection="1">
      <alignment horizontal="center"/>
    </xf>
    <xf numFmtId="49" fontId="3" fillId="21" borderId="2" xfId="0" applyNumberFormat="1" applyFont="1" applyFill="1" applyBorder="1" applyAlignment="1" applyProtection="1">
      <alignment horizontal="left"/>
    </xf>
    <xf numFmtId="49" fontId="3" fillId="21" borderId="55" xfId="0" applyNumberFormat="1" applyFont="1" applyFill="1" applyBorder="1" applyAlignment="1" applyProtection="1">
      <alignment horizontal="center"/>
    </xf>
    <xf numFmtId="0" fontId="3" fillId="21" borderId="55" xfId="0" applyFont="1" applyFill="1" applyBorder="1" applyAlignment="1" applyProtection="1">
      <alignment horizontal="left" vertical="center"/>
    </xf>
    <xf numFmtId="0" fontId="4" fillId="21" borderId="8" xfId="0" applyFont="1" applyFill="1" applyBorder="1" applyAlignment="1" applyProtection="1">
      <alignment horizontal="left"/>
    </xf>
    <xf numFmtId="0" fontId="3" fillId="21" borderId="9" xfId="0" applyFont="1" applyFill="1" applyBorder="1" applyAlignment="1" applyProtection="1">
      <alignment horizontal="center"/>
    </xf>
    <xf numFmtId="0" fontId="3" fillId="21" borderId="10" xfId="0" applyFont="1" applyFill="1" applyBorder="1" applyAlignment="1" applyProtection="1">
      <alignment horizontal="center"/>
    </xf>
    <xf numFmtId="0" fontId="3" fillId="21" borderId="9" xfId="0" applyFont="1" applyFill="1" applyBorder="1" applyAlignment="1" applyProtection="1">
      <alignment horizontal="center" vertical="center"/>
    </xf>
    <xf numFmtId="0" fontId="3" fillId="21" borderId="32" xfId="0" applyFont="1" applyFill="1" applyBorder="1" applyAlignment="1" applyProtection="1">
      <alignment horizontal="center" vertical="center"/>
    </xf>
    <xf numFmtId="0" fontId="3" fillId="21" borderId="32" xfId="0" applyFont="1" applyFill="1" applyBorder="1" applyAlignment="1" applyProtection="1">
      <alignment horizontal="center"/>
    </xf>
    <xf numFmtId="0" fontId="3" fillId="21" borderId="19" xfId="0" applyFont="1" applyFill="1" applyBorder="1" applyAlignment="1" applyProtection="1">
      <alignment horizontal="center"/>
    </xf>
    <xf numFmtId="0" fontId="3" fillId="21" borderId="19" xfId="0" applyFont="1" applyFill="1" applyBorder="1" applyAlignment="1" applyProtection="1">
      <alignment horizontal="center" vertical="center"/>
    </xf>
    <xf numFmtId="0" fontId="3" fillId="21" borderId="10" xfId="0" applyFont="1" applyFill="1" applyBorder="1" applyAlignment="1" applyProtection="1">
      <alignment horizontal="center" vertical="center"/>
    </xf>
    <xf numFmtId="49" fontId="3" fillId="21" borderId="8" xfId="0" applyNumberFormat="1" applyFont="1" applyFill="1" applyBorder="1" applyAlignment="1" applyProtection="1">
      <alignment horizontal="center"/>
    </xf>
    <xf numFmtId="2" fontId="3" fillId="21" borderId="32" xfId="0" applyNumberFormat="1" applyFont="1" applyFill="1" applyBorder="1" applyAlignment="1" applyProtection="1">
      <alignment horizontal="left"/>
    </xf>
    <xf numFmtId="0" fontId="3" fillId="21" borderId="32" xfId="0" applyFont="1" applyFill="1" applyBorder="1" applyAlignment="1" applyProtection="1">
      <alignment horizontal="left"/>
    </xf>
    <xf numFmtId="0" fontId="3" fillId="21" borderId="19" xfId="0" applyFont="1" applyFill="1" applyBorder="1" applyAlignment="1" applyProtection="1">
      <alignment horizontal="left"/>
    </xf>
    <xf numFmtId="0" fontId="3" fillId="21" borderId="10" xfId="0" applyFont="1" applyFill="1" applyBorder="1" applyAlignment="1" applyProtection="1">
      <alignment horizontal="left"/>
    </xf>
    <xf numFmtId="165" fontId="3" fillId="21" borderId="9" xfId="0" applyNumberFormat="1" applyFont="1" applyFill="1" applyBorder="1" applyAlignment="1" applyProtection="1">
      <alignment horizontal="center"/>
    </xf>
    <xf numFmtId="165" fontId="3" fillId="21" borderId="18" xfId="0" applyNumberFormat="1" applyFont="1" applyFill="1" applyBorder="1" applyAlignment="1" applyProtection="1">
      <alignment horizontal="center"/>
    </xf>
    <xf numFmtId="165" fontId="3" fillId="21" borderId="0" xfId="0" applyNumberFormat="1" applyFont="1" applyFill="1" applyBorder="1" applyAlignment="1" applyProtection="1">
      <alignment horizontal="center"/>
    </xf>
    <xf numFmtId="165" fontId="3" fillId="21" borderId="10" xfId="0" applyNumberFormat="1" applyFont="1" applyFill="1" applyBorder="1" applyAlignment="1" applyProtection="1">
      <alignment horizontal="center"/>
    </xf>
    <xf numFmtId="49" fontId="3" fillId="21" borderId="9" xfId="0" applyNumberFormat="1" applyFont="1" applyFill="1" applyBorder="1" applyAlignment="1" applyProtection="1">
      <alignment horizontal="left"/>
    </xf>
    <xf numFmtId="49" fontId="3" fillId="21" borderId="32" xfId="0" applyNumberFormat="1" applyFont="1" applyFill="1" applyBorder="1" applyAlignment="1" applyProtection="1">
      <alignment horizontal="center"/>
    </xf>
    <xf numFmtId="0" fontId="3" fillId="21" borderId="32" xfId="0" applyFont="1" applyFill="1" applyBorder="1" applyAlignment="1" applyProtection="1">
      <alignment horizontal="left" vertical="center"/>
    </xf>
    <xf numFmtId="0" fontId="6" fillId="0" borderId="0" xfId="0" applyFont="1" applyBorder="1" applyAlignment="1">
      <alignment vertical="center"/>
    </xf>
    <xf numFmtId="0" fontId="2" fillId="2" borderId="0" xfId="0" applyNumberFormat="1" applyFont="1" applyFill="1" applyBorder="1" applyAlignment="1" applyProtection="1">
      <alignment horizontal="left" vertical="center"/>
      <protection locked="0"/>
    </xf>
    <xf numFmtId="0" fontId="4" fillId="0" borderId="9" xfId="0" applyFont="1" applyFill="1" applyBorder="1" applyAlignment="1">
      <alignment horizontal="left"/>
    </xf>
    <xf numFmtId="0" fontId="3" fillId="21" borderId="30" xfId="0" applyFont="1" applyFill="1" applyBorder="1" applyAlignment="1">
      <alignment horizontal="center" textRotation="90"/>
    </xf>
    <xf numFmtId="0" fontId="2" fillId="2" borderId="38" xfId="0" applyNumberFormat="1" applyFont="1" applyFill="1" applyBorder="1" applyAlignment="1" applyProtection="1">
      <alignment horizontal="center" vertical="center"/>
      <protection locked="0"/>
    </xf>
    <xf numFmtId="0" fontId="2" fillId="2" borderId="33" xfId="0" applyNumberFormat="1" applyFont="1" applyFill="1" applyBorder="1" applyAlignment="1" applyProtection="1">
      <alignment horizontal="center" vertical="center"/>
      <protection locked="0"/>
    </xf>
    <xf numFmtId="0" fontId="2" fillId="2" borderId="33" xfId="0" applyNumberFormat="1" applyFont="1" applyFill="1" applyBorder="1" applyAlignment="1" applyProtection="1">
      <alignment horizontal="left" vertical="center"/>
      <protection locked="0"/>
    </xf>
    <xf numFmtId="0" fontId="2" fillId="2" borderId="38" xfId="0" applyNumberFormat="1" applyFont="1" applyFill="1" applyBorder="1" applyAlignment="1" applyProtection="1">
      <alignment horizontal="left" vertical="center"/>
      <protection locked="0"/>
    </xf>
    <xf numFmtId="0" fontId="2" fillId="2" borderId="17" xfId="0" applyNumberFormat="1" applyFont="1" applyFill="1" applyBorder="1" applyAlignment="1" applyProtection="1">
      <alignment horizontal="center" vertical="center"/>
      <protection locked="0"/>
    </xf>
    <xf numFmtId="0" fontId="4" fillId="22" borderId="13" xfId="0" applyFont="1" applyFill="1" applyBorder="1" applyAlignment="1" applyProtection="1">
      <alignment vertical="center" wrapText="1"/>
    </xf>
    <xf numFmtId="0" fontId="4" fillId="22" borderId="12" xfId="0" applyFont="1" applyFill="1" applyBorder="1" applyAlignment="1" applyProtection="1">
      <alignment vertical="center" wrapText="1"/>
    </xf>
    <xf numFmtId="166" fontId="4" fillId="22" borderId="14" xfId="0" applyNumberFormat="1" applyFont="1" applyFill="1" applyBorder="1" applyAlignment="1" applyProtection="1">
      <alignment horizontal="left" vertical="center"/>
    </xf>
    <xf numFmtId="0" fontId="3" fillId="22" borderId="12" xfId="0" applyFont="1" applyFill="1" applyBorder="1" applyAlignment="1" applyProtection="1">
      <alignment vertical="center"/>
    </xf>
    <xf numFmtId="0" fontId="3" fillId="22" borderId="13" xfId="0" applyFont="1" applyFill="1" applyBorder="1" applyAlignment="1" applyProtection="1">
      <alignment vertical="center"/>
    </xf>
    <xf numFmtId="0" fontId="2" fillId="22" borderId="14" xfId="0" applyNumberFormat="1" applyFont="1" applyFill="1" applyBorder="1" applyAlignment="1" applyProtection="1">
      <alignment horizontal="left"/>
    </xf>
    <xf numFmtId="49" fontId="3" fillId="22" borderId="13" xfId="0" applyNumberFormat="1" applyFont="1" applyFill="1" applyBorder="1" applyAlignment="1" applyProtection="1">
      <alignment vertical="center"/>
    </xf>
    <xf numFmtId="49" fontId="3" fillId="22" borderId="58" xfId="0" applyNumberFormat="1" applyFont="1" applyFill="1" applyBorder="1" applyAlignment="1" applyProtection="1">
      <alignment vertical="center"/>
    </xf>
    <xf numFmtId="0" fontId="6" fillId="22" borderId="58" xfId="0" applyFont="1" applyFill="1" applyBorder="1" applyAlignment="1" applyProtection="1">
      <alignment horizontal="left" vertical="center"/>
    </xf>
    <xf numFmtId="0" fontId="2" fillId="22" borderId="19" xfId="0" applyNumberFormat="1" applyFont="1" applyFill="1" applyBorder="1" applyAlignment="1" applyProtection="1">
      <alignment horizontal="center" vertical="center"/>
    </xf>
    <xf numFmtId="0" fontId="2" fillId="22" borderId="19" xfId="0" applyNumberFormat="1" applyFont="1" applyFill="1" applyBorder="1" applyAlignment="1" applyProtection="1">
      <alignment horizontal="center"/>
    </xf>
    <xf numFmtId="49" fontId="2" fillId="22" borderId="0" xfId="0" applyNumberFormat="1" applyFont="1" applyFill="1" applyBorder="1" applyAlignment="1" applyProtection="1">
      <alignment horizontal="left" vertical="center"/>
    </xf>
    <xf numFmtId="49" fontId="10" fillId="22" borderId="0" xfId="0" applyNumberFormat="1" applyFont="1" applyFill="1" applyBorder="1" applyAlignment="1" applyProtection="1">
      <alignment horizontal="left" vertical="center"/>
    </xf>
    <xf numFmtId="164" fontId="2" fillId="22" borderId="0" xfId="0" applyNumberFormat="1" applyFont="1" applyFill="1" applyBorder="1" applyAlignment="1" applyProtection="1">
      <alignment horizontal="left"/>
    </xf>
    <xf numFmtId="49" fontId="3" fillId="22" borderId="18" xfId="0" applyNumberFormat="1" applyFont="1" applyFill="1" applyBorder="1" applyAlignment="1" applyProtection="1">
      <alignment vertical="center"/>
    </xf>
    <xf numFmtId="0" fontId="9" fillId="22" borderId="32" xfId="0" applyFont="1" applyFill="1" applyBorder="1" applyAlignment="1" applyProtection="1">
      <alignment horizontal="left" vertical="center"/>
    </xf>
    <xf numFmtId="0" fontId="3" fillId="22" borderId="32" xfId="0" applyFont="1" applyFill="1" applyBorder="1" applyAlignment="1" applyProtection="1">
      <alignment horizontal="left" vertical="center"/>
    </xf>
    <xf numFmtId="165" fontId="9" fillId="22" borderId="0" xfId="0" applyNumberFormat="1" applyFont="1" applyFill="1" applyBorder="1" applyAlignment="1" applyProtection="1">
      <alignment horizontal="left" vertical="center"/>
    </xf>
    <xf numFmtId="0" fontId="3" fillId="22" borderId="0" xfId="0" applyFont="1" applyFill="1" applyBorder="1" applyAlignment="1" applyProtection="1">
      <alignment vertical="center"/>
    </xf>
    <xf numFmtId="0" fontId="10" fillId="22" borderId="0" xfId="0" applyFont="1" applyFill="1" applyBorder="1" applyAlignment="1" applyProtection="1">
      <alignment vertical="center"/>
    </xf>
    <xf numFmtId="0" fontId="9" fillId="22" borderId="0" xfId="0" applyFont="1" applyFill="1" applyBorder="1" applyAlignment="1" applyProtection="1">
      <alignment vertical="center"/>
    </xf>
    <xf numFmtId="0" fontId="3" fillId="22" borderId="19" xfId="0" applyNumberFormat="1" applyFont="1" applyFill="1" applyBorder="1" applyAlignment="1" applyProtection="1">
      <alignment horizontal="center" vertical="center"/>
    </xf>
    <xf numFmtId="0" fontId="3" fillId="22" borderId="19" xfId="0" applyFont="1" applyFill="1" applyBorder="1" applyAlignment="1" applyProtection="1">
      <alignment horizontal="center" vertical="center"/>
    </xf>
    <xf numFmtId="0" fontId="9" fillId="22" borderId="32" xfId="0" applyNumberFormat="1" applyFont="1" applyFill="1" applyBorder="1" applyAlignment="1" applyProtection="1">
      <alignment horizontal="left" vertical="center"/>
    </xf>
    <xf numFmtId="0" fontId="2" fillId="22" borderId="32" xfId="0" applyNumberFormat="1" applyFont="1" applyFill="1" applyBorder="1" applyAlignment="1" applyProtection="1">
      <alignment horizontal="left" vertical="center"/>
    </xf>
    <xf numFmtId="165" fontId="3" fillId="22" borderId="32" xfId="0" applyNumberFormat="1" applyFont="1" applyFill="1" applyBorder="1" applyAlignment="1" applyProtection="1">
      <alignment horizontal="left" vertical="center"/>
    </xf>
    <xf numFmtId="3" fontId="3" fillId="22" borderId="32" xfId="0" applyNumberFormat="1" applyFont="1" applyFill="1" applyBorder="1" applyAlignment="1" applyProtection="1">
      <alignment horizontal="left" vertical="center"/>
    </xf>
    <xf numFmtId="0" fontId="3" fillId="22" borderId="35" xfId="0" applyNumberFormat="1" applyFont="1" applyFill="1" applyBorder="1" applyAlignment="1" applyProtection="1">
      <alignment horizontal="center" vertical="center"/>
    </xf>
    <xf numFmtId="0" fontId="3" fillId="22" borderId="35" xfId="0" applyFont="1" applyFill="1" applyBorder="1" applyAlignment="1" applyProtection="1">
      <alignment horizontal="center" vertical="center"/>
    </xf>
    <xf numFmtId="165" fontId="2" fillId="4" borderId="38" xfId="0" applyNumberFormat="1" applyFont="1" applyFill="1" applyBorder="1" applyAlignment="1" applyProtection="1">
      <alignment horizontal="left" vertical="center"/>
      <protection locked="0"/>
    </xf>
    <xf numFmtId="49" fontId="2" fillId="4" borderId="36" xfId="0" applyNumberFormat="1" applyFont="1" applyFill="1" applyBorder="1" applyAlignment="1" applyProtection="1">
      <alignment horizontal="left" vertical="center"/>
      <protection locked="0"/>
    </xf>
    <xf numFmtId="0" fontId="1" fillId="22" borderId="35" xfId="0" applyNumberFormat="1" applyFont="1" applyFill="1" applyBorder="1" applyAlignment="1">
      <alignment vertical="center"/>
    </xf>
    <xf numFmtId="164" fontId="2" fillId="22" borderId="35" xfId="0" applyNumberFormat="1" applyFont="1" applyFill="1" applyBorder="1" applyAlignment="1">
      <alignment vertical="center"/>
    </xf>
    <xf numFmtId="0" fontId="3" fillId="22" borderId="39" xfId="0" applyFont="1" applyFill="1" applyBorder="1" applyAlignment="1">
      <alignment vertical="center"/>
    </xf>
    <xf numFmtId="0" fontId="3" fillId="22" borderId="35" xfId="0" applyFont="1" applyFill="1" applyBorder="1" applyAlignment="1">
      <alignment horizontal="center" vertical="center"/>
    </xf>
    <xf numFmtId="0" fontId="3" fillId="22" borderId="35" xfId="0" applyFont="1" applyFill="1" applyBorder="1" applyAlignment="1">
      <alignment vertical="center"/>
    </xf>
    <xf numFmtId="0" fontId="3" fillId="22" borderId="39" xfId="0" applyFont="1" applyFill="1" applyBorder="1" applyAlignment="1">
      <alignment horizontal="center" vertical="center"/>
    </xf>
    <xf numFmtId="0" fontId="3" fillId="22" borderId="37" xfId="0" applyFont="1" applyFill="1" applyBorder="1" applyAlignment="1">
      <alignment horizontal="center" vertical="center"/>
    </xf>
    <xf numFmtId="0" fontId="2" fillId="22" borderId="32" xfId="0" applyFont="1" applyFill="1" applyBorder="1" applyAlignment="1">
      <alignment vertical="center"/>
    </xf>
    <xf numFmtId="0" fontId="2" fillId="22" borderId="19" xfId="0" applyFont="1" applyFill="1" applyBorder="1" applyAlignment="1">
      <alignment vertical="center"/>
    </xf>
    <xf numFmtId="0" fontId="2" fillId="22" borderId="19" xfId="0" applyNumberFormat="1" applyFont="1" applyFill="1" applyBorder="1"/>
    <xf numFmtId="0" fontId="3" fillId="22" borderId="18" xfId="0" applyFont="1" applyFill="1" applyBorder="1" applyAlignment="1">
      <alignment horizontal="center" vertical="center"/>
    </xf>
    <xf numFmtId="0" fontId="3" fillId="22" borderId="32" xfId="0" applyFont="1" applyFill="1" applyBorder="1" applyAlignment="1">
      <alignment horizontal="center" vertical="center"/>
    </xf>
    <xf numFmtId="0" fontId="3" fillId="22" borderId="19" xfId="0" applyFont="1" applyFill="1" applyBorder="1" applyAlignment="1">
      <alignment vertical="center"/>
    </xf>
    <xf numFmtId="0" fontId="3" fillId="22" borderId="19" xfId="0" applyFont="1" applyFill="1" applyBorder="1" applyAlignment="1">
      <alignment horizontal="center" vertical="center"/>
    </xf>
    <xf numFmtId="0" fontId="3" fillId="22" borderId="32" xfId="0" applyFont="1" applyFill="1" applyBorder="1" applyAlignment="1">
      <alignment vertical="center"/>
    </xf>
    <xf numFmtId="164" fontId="2" fillId="22" borderId="0" xfId="0" applyNumberFormat="1" applyFont="1" applyFill="1" applyBorder="1" applyAlignment="1">
      <alignment horizontal="left"/>
    </xf>
    <xf numFmtId="164" fontId="2" fillId="22" borderId="18" xfId="0" applyNumberFormat="1" applyFont="1" applyFill="1" applyBorder="1" applyAlignment="1">
      <alignment horizontal="left"/>
    </xf>
    <xf numFmtId="0" fontId="2" fillId="22" borderId="19" xfId="0" applyNumberFormat="1" applyFont="1" applyFill="1" applyBorder="1" applyAlignment="1">
      <alignment vertical="center"/>
    </xf>
    <xf numFmtId="0" fontId="3" fillId="22" borderId="0" xfId="0" applyFont="1" applyFill="1" applyBorder="1" applyAlignment="1">
      <alignment vertical="center"/>
    </xf>
    <xf numFmtId="0" fontId="3" fillId="22" borderId="18" xfId="0" applyFont="1" applyFill="1" applyBorder="1" applyAlignment="1">
      <alignment vertical="center"/>
    </xf>
    <xf numFmtId="0" fontId="2" fillId="22" borderId="39" xfId="0" applyFont="1" applyFill="1" applyBorder="1" applyAlignment="1">
      <alignment vertical="center"/>
    </xf>
    <xf numFmtId="0" fontId="2" fillId="22" borderId="35" xfId="0" applyNumberFormat="1" applyFont="1" applyFill="1" applyBorder="1" applyAlignment="1">
      <alignment vertical="center"/>
    </xf>
    <xf numFmtId="0" fontId="3" fillId="22" borderId="36" xfId="0" applyFont="1" applyFill="1" applyBorder="1" applyAlignment="1">
      <alignment vertical="center"/>
    </xf>
    <xf numFmtId="0" fontId="3" fillId="22" borderId="37" xfId="0" applyFont="1" applyFill="1" applyBorder="1" applyAlignment="1">
      <alignment vertical="center"/>
    </xf>
    <xf numFmtId="0" fontId="3" fillId="21" borderId="0" xfId="0" applyFont="1" applyFill="1" applyBorder="1" applyAlignment="1">
      <alignment vertical="center"/>
    </xf>
    <xf numFmtId="0" fontId="1" fillId="22" borderId="36" xfId="0" applyNumberFormat="1" applyFont="1" applyFill="1" applyBorder="1" applyAlignment="1">
      <alignment vertical="center" wrapText="1"/>
    </xf>
    <xf numFmtId="0" fontId="1" fillId="22" borderId="14" xfId="0" applyFont="1" applyFill="1" applyBorder="1" applyAlignment="1">
      <alignment vertical="center" wrapText="1"/>
    </xf>
    <xf numFmtId="0" fontId="4" fillId="22" borderId="58" xfId="0" applyFont="1" applyFill="1" applyBorder="1" applyAlignment="1">
      <alignment vertical="center" wrapText="1"/>
    </xf>
    <xf numFmtId="0" fontId="4" fillId="22" borderId="12" xfId="0" applyFont="1" applyFill="1" applyBorder="1" applyAlignment="1">
      <alignment vertical="center" wrapText="1"/>
    </xf>
    <xf numFmtId="0" fontId="1" fillId="22" borderId="35" xfId="0" applyNumberFormat="1" applyFont="1" applyFill="1" applyBorder="1"/>
    <xf numFmtId="0" fontId="4" fillId="22" borderId="13" xfId="0" applyFont="1" applyFill="1" applyBorder="1" applyAlignment="1">
      <alignment vertical="center" wrapText="1"/>
    </xf>
    <xf numFmtId="0" fontId="4" fillId="22" borderId="13" xfId="0" applyFont="1" applyFill="1" applyBorder="1" applyAlignment="1">
      <alignment horizontal="center" vertical="center" wrapText="1"/>
    </xf>
    <xf numFmtId="0" fontId="4" fillId="22" borderId="14" xfId="0" applyFont="1" applyFill="1" applyBorder="1" applyAlignment="1">
      <alignment horizontal="center" vertical="center" wrapText="1"/>
    </xf>
    <xf numFmtId="0" fontId="4" fillId="22" borderId="14" xfId="0" applyFont="1" applyFill="1" applyBorder="1" applyAlignment="1">
      <alignment vertical="center" wrapText="1"/>
    </xf>
    <xf numFmtId="0" fontId="4" fillId="22" borderId="58" xfId="0" applyFont="1" applyFill="1" applyBorder="1" applyAlignment="1">
      <alignment horizontal="center" vertical="center" wrapText="1"/>
    </xf>
    <xf numFmtId="0" fontId="2" fillId="22" borderId="33" xfId="0" applyNumberFormat="1" applyFont="1" applyFill="1" applyBorder="1" applyAlignment="1" applyProtection="1">
      <alignment horizontal="left" vertical="center"/>
    </xf>
    <xf numFmtId="0" fontId="3" fillId="22" borderId="38" xfId="0" applyFont="1" applyFill="1" applyBorder="1" applyAlignment="1">
      <alignment horizontal="center" vertical="center"/>
    </xf>
    <xf numFmtId="0" fontId="3" fillId="21" borderId="38" xfId="0" applyFont="1" applyFill="1" applyBorder="1" applyAlignment="1">
      <alignment horizontal="center" vertical="center"/>
    </xf>
    <xf numFmtId="0" fontId="3" fillId="21" borderId="34" xfId="0" applyFont="1" applyFill="1" applyBorder="1" applyAlignment="1">
      <alignment horizontal="center" vertical="center"/>
    </xf>
    <xf numFmtId="0" fontId="22" fillId="22" borderId="4" xfId="0" applyFont="1" applyFill="1" applyBorder="1" applyAlignment="1" applyProtection="1">
      <alignment vertical="center"/>
    </xf>
    <xf numFmtId="0" fontId="3" fillId="22" borderId="5" xfId="0" applyFont="1" applyFill="1" applyBorder="1" applyAlignment="1" applyProtection="1">
      <alignment vertical="center"/>
    </xf>
    <xf numFmtId="0" fontId="22" fillId="22" borderId="7" xfId="0" applyFont="1" applyFill="1" applyBorder="1" applyAlignment="1" applyProtection="1">
      <alignment vertical="center"/>
    </xf>
    <xf numFmtId="0" fontId="22" fillId="22" borderId="5" xfId="0" applyFont="1" applyFill="1" applyBorder="1" applyAlignment="1" applyProtection="1">
      <alignment vertical="center"/>
    </xf>
    <xf numFmtId="0" fontId="22" fillId="22" borderId="5" xfId="0" applyFont="1" applyFill="1" applyBorder="1" applyAlignment="1">
      <alignment vertical="center"/>
    </xf>
    <xf numFmtId="0" fontId="22" fillId="22" borderId="6" xfId="0" applyFont="1" applyFill="1" applyBorder="1" applyAlignment="1">
      <alignment vertical="center"/>
    </xf>
    <xf numFmtId="0" fontId="3" fillId="22" borderId="16" xfId="0" applyFont="1" applyFill="1" applyBorder="1" applyAlignment="1" applyProtection="1">
      <alignment vertical="center" wrapText="1"/>
    </xf>
    <xf numFmtId="0" fontId="4" fillId="22" borderId="15" xfId="0" applyFont="1" applyFill="1" applyBorder="1" applyAlignment="1">
      <alignment vertical="center"/>
    </xf>
    <xf numFmtId="0" fontId="3" fillId="22" borderId="9" xfId="0" applyFont="1" applyFill="1" applyBorder="1" applyAlignment="1" applyProtection="1">
      <alignment vertical="center"/>
    </xf>
    <xf numFmtId="0" fontId="2" fillId="2" borderId="10" xfId="0" applyNumberFormat="1" applyFont="1" applyFill="1" applyBorder="1" applyAlignment="1" applyProtection="1">
      <alignment horizontal="left" vertical="center"/>
      <protection locked="0"/>
    </xf>
    <xf numFmtId="0" fontId="3" fillId="22" borderId="96" xfId="0" applyFont="1" applyFill="1" applyBorder="1" applyAlignment="1" applyProtection="1">
      <alignment vertical="center"/>
    </xf>
    <xf numFmtId="0" fontId="3" fillId="22" borderId="97" xfId="0" applyFont="1" applyFill="1" applyBorder="1" applyAlignment="1">
      <alignment vertical="center"/>
    </xf>
    <xf numFmtId="0" fontId="3" fillId="22" borderId="8" xfId="0" applyFont="1" applyFill="1" applyBorder="1" applyAlignment="1" applyProtection="1">
      <alignment vertical="center"/>
    </xf>
    <xf numFmtId="0" fontId="3" fillId="22" borderId="98" xfId="0" applyFont="1" applyFill="1" applyBorder="1" applyAlignment="1">
      <alignment vertical="center"/>
    </xf>
    <xf numFmtId="0" fontId="3" fillId="22" borderId="0" xfId="0" applyFont="1" applyFill="1" applyBorder="1" applyAlignment="1">
      <alignment horizontal="center" vertical="center"/>
    </xf>
    <xf numFmtId="0" fontId="3" fillId="21" borderId="8" xfId="0" applyFont="1" applyFill="1" applyBorder="1" applyAlignment="1">
      <alignment vertical="center"/>
    </xf>
    <xf numFmtId="0" fontId="3" fillId="21" borderId="24" xfId="0" applyFont="1" applyFill="1" applyBorder="1" applyAlignment="1">
      <alignment vertical="center"/>
    </xf>
    <xf numFmtId="0" fontId="3" fillId="21" borderId="82" xfId="0" applyFont="1" applyFill="1" applyBorder="1" applyAlignment="1">
      <alignment vertical="center"/>
    </xf>
    <xf numFmtId="0" fontId="2" fillId="21" borderId="82" xfId="0" applyFont="1" applyFill="1" applyBorder="1" applyAlignment="1">
      <alignment vertical="center"/>
    </xf>
    <xf numFmtId="0" fontId="2" fillId="21" borderId="82" xfId="0" applyNumberFormat="1" applyFont="1" applyFill="1" applyBorder="1" applyAlignment="1">
      <alignment vertical="center"/>
    </xf>
    <xf numFmtId="0" fontId="3" fillId="21" borderId="82" xfId="0" applyFont="1" applyFill="1" applyBorder="1" applyAlignment="1">
      <alignment horizontal="left" vertical="center"/>
    </xf>
    <xf numFmtId="0" fontId="3" fillId="21" borderId="82" xfId="0" applyFont="1" applyFill="1" applyBorder="1" applyAlignment="1">
      <alignment horizontal="center" vertical="center"/>
    </xf>
    <xf numFmtId="0" fontId="3" fillId="21" borderId="99" xfId="0" applyFont="1" applyFill="1" applyBorder="1" applyAlignment="1">
      <alignment vertical="center"/>
    </xf>
    <xf numFmtId="0" fontId="9" fillId="21" borderId="32" xfId="0" applyFont="1" applyFill="1" applyBorder="1" applyAlignment="1" applyProtection="1">
      <alignment horizontal="left" vertical="center"/>
    </xf>
    <xf numFmtId="0" fontId="3" fillId="21" borderId="39" xfId="0" applyFont="1" applyFill="1" applyBorder="1" applyAlignment="1">
      <alignment vertical="center"/>
    </xf>
    <xf numFmtId="0" fontId="2" fillId="21" borderId="32" xfId="0" applyNumberFormat="1" applyFont="1" applyFill="1" applyBorder="1" applyAlignment="1" applyProtection="1">
      <alignment horizontal="left" vertical="center"/>
    </xf>
    <xf numFmtId="49" fontId="2" fillId="21" borderId="57" xfId="0" applyNumberFormat="1" applyFont="1" applyFill="1" applyBorder="1" applyAlignment="1" applyProtection="1">
      <alignment horizontal="left" vertical="center"/>
    </xf>
    <xf numFmtId="0" fontId="10" fillId="21" borderId="0" xfId="0" applyFont="1" applyFill="1" applyBorder="1" applyAlignment="1">
      <alignment vertical="center"/>
    </xf>
    <xf numFmtId="0" fontId="10" fillId="21" borderId="19" xfId="0" applyFont="1" applyFill="1" applyBorder="1" applyAlignment="1">
      <alignment vertical="center"/>
    </xf>
    <xf numFmtId="0" fontId="9" fillId="21" borderId="31" xfId="0" applyFont="1" applyFill="1" applyBorder="1" applyAlignment="1" applyProtection="1">
      <alignment vertical="center"/>
    </xf>
    <xf numFmtId="0" fontId="3" fillId="21" borderId="32" xfId="0" applyFont="1" applyFill="1" applyBorder="1" applyAlignment="1">
      <alignment vertical="center"/>
    </xf>
    <xf numFmtId="0" fontId="3" fillId="21" borderId="32" xfId="0" applyFont="1" applyFill="1" applyBorder="1" applyAlignment="1">
      <alignment horizontal="left" vertical="center"/>
    </xf>
    <xf numFmtId="0" fontId="3" fillId="21" borderId="57" xfId="0" applyFont="1" applyFill="1" applyBorder="1" applyAlignment="1">
      <alignment vertical="center"/>
    </xf>
    <xf numFmtId="0" fontId="3" fillId="21" borderId="39" xfId="0" applyFont="1" applyFill="1" applyBorder="1" applyAlignment="1">
      <alignment horizontal="center" vertical="center"/>
    </xf>
    <xf numFmtId="0" fontId="3" fillId="21" borderId="57" xfId="0" applyFont="1" applyFill="1" applyBorder="1" applyAlignment="1">
      <alignment horizontal="center" textRotation="90"/>
    </xf>
    <xf numFmtId="0" fontId="2" fillId="21" borderId="56" xfId="0" applyFont="1" applyFill="1" applyBorder="1" applyAlignment="1">
      <alignment horizontal="center" textRotation="90"/>
    </xf>
    <xf numFmtId="0" fontId="3" fillId="21" borderId="31" xfId="0" applyFont="1" applyFill="1" applyBorder="1" applyAlignment="1">
      <alignment horizontal="center" textRotation="90"/>
    </xf>
    <xf numFmtId="0" fontId="3" fillId="21" borderId="25" xfId="0" applyFont="1" applyFill="1" applyBorder="1" applyAlignment="1">
      <alignment horizontal="center" textRotation="90" wrapText="1"/>
    </xf>
    <xf numFmtId="0" fontId="3" fillId="21" borderId="57" xfId="0" applyFont="1" applyFill="1" applyBorder="1" applyAlignment="1">
      <alignment horizontal="center" textRotation="90" wrapText="1"/>
    </xf>
    <xf numFmtId="0" fontId="3" fillId="21" borderId="31" xfId="0" applyFont="1" applyFill="1" applyBorder="1" applyAlignment="1">
      <alignment horizontal="center" textRotation="90" wrapText="1"/>
    </xf>
    <xf numFmtId="0" fontId="3" fillId="21" borderId="30" xfId="0" applyFont="1" applyFill="1" applyBorder="1" applyAlignment="1">
      <alignment horizontal="center" textRotation="90" wrapText="1"/>
    </xf>
    <xf numFmtId="0" fontId="3" fillId="21" borderId="28" xfId="0" applyFont="1" applyFill="1" applyBorder="1" applyAlignment="1">
      <alignment horizontal="center" textRotation="90" wrapText="1"/>
    </xf>
    <xf numFmtId="0" fontId="3" fillId="21" borderId="26" xfId="0" applyFont="1" applyFill="1" applyBorder="1" applyAlignment="1">
      <alignment horizontal="center" textRotation="90" wrapText="1"/>
    </xf>
    <xf numFmtId="0" fontId="3" fillId="21" borderId="82" xfId="0" applyFont="1" applyFill="1" applyBorder="1" applyAlignment="1">
      <alignment horizontal="center" textRotation="90" wrapText="1"/>
    </xf>
    <xf numFmtId="0" fontId="3" fillId="22" borderId="1" xfId="0" applyFont="1" applyFill="1" applyBorder="1" applyAlignment="1">
      <alignment vertical="center" wrapText="1"/>
    </xf>
    <xf numFmtId="0" fontId="3" fillId="23" borderId="57" xfId="0" applyFont="1" applyFill="1" applyBorder="1" applyAlignment="1">
      <alignment horizontal="center"/>
    </xf>
    <xf numFmtId="0" fontId="3" fillId="23" borderId="31" xfId="0" applyFont="1" applyFill="1" applyBorder="1" applyAlignment="1">
      <alignment horizontal="center"/>
    </xf>
    <xf numFmtId="0" fontId="3" fillId="23" borderId="29" xfId="0" applyFont="1" applyFill="1" applyBorder="1" applyAlignment="1">
      <alignment horizontal="left"/>
    </xf>
    <xf numFmtId="0" fontId="3" fillId="23" borderId="57" xfId="0" applyFont="1" applyFill="1" applyBorder="1" applyAlignment="1">
      <alignment horizontal="left"/>
    </xf>
    <xf numFmtId="0" fontId="3" fillId="23" borderId="31" xfId="0" applyFont="1" applyFill="1" applyBorder="1" applyAlignment="1">
      <alignment horizontal="left"/>
    </xf>
    <xf numFmtId="0" fontId="3" fillId="23" borderId="30" xfId="0" applyFont="1" applyFill="1" applyBorder="1" applyAlignment="1">
      <alignment horizontal="left"/>
    </xf>
    <xf numFmtId="165" fontId="3" fillId="23" borderId="59" xfId="0" applyNumberFormat="1" applyFont="1" applyFill="1" applyBorder="1" applyAlignment="1">
      <alignment horizontal="left"/>
    </xf>
    <xf numFmtId="165" fontId="3" fillId="23" borderId="29" xfId="0" applyNumberFormat="1" applyFont="1" applyFill="1" applyBorder="1" applyAlignment="1">
      <alignment horizontal="left"/>
    </xf>
    <xf numFmtId="165" fontId="3" fillId="23" borderId="30" xfId="0" applyNumberFormat="1" applyFont="1" applyFill="1" applyBorder="1" applyAlignment="1">
      <alignment horizontal="left"/>
    </xf>
    <xf numFmtId="0" fontId="3" fillId="23" borderId="57" xfId="0" applyFont="1" applyFill="1" applyBorder="1" applyAlignment="1">
      <alignment horizontal="center" vertical="center"/>
    </xf>
    <xf numFmtId="0" fontId="3" fillId="23" borderId="31" xfId="0" applyFont="1" applyFill="1" applyBorder="1" applyAlignment="1">
      <alignment horizontal="center" vertical="center"/>
    </xf>
    <xf numFmtId="0" fontId="3" fillId="23" borderId="30" xfId="0" applyFont="1" applyFill="1" applyBorder="1" applyAlignment="1">
      <alignment horizontal="center" vertical="center"/>
    </xf>
    <xf numFmtId="164" fontId="2" fillId="23" borderId="29" xfId="0" applyNumberFormat="1" applyFont="1" applyFill="1" applyBorder="1" applyAlignment="1">
      <alignment horizontal="left"/>
    </xf>
    <xf numFmtId="164" fontId="2" fillId="23" borderId="57" xfId="0" applyNumberFormat="1" applyFont="1" applyFill="1" applyBorder="1" applyAlignment="1">
      <alignment horizontal="left"/>
    </xf>
    <xf numFmtId="164" fontId="2" fillId="23" borderId="30" xfId="0" applyNumberFormat="1" applyFont="1" applyFill="1" applyBorder="1" applyAlignment="1">
      <alignment horizontal="left"/>
    </xf>
    <xf numFmtId="0" fontId="3" fillId="21" borderId="11" xfId="0" applyFont="1" applyFill="1" applyBorder="1"/>
    <xf numFmtId="0" fontId="3" fillId="23" borderId="16" xfId="0" applyFont="1" applyFill="1" applyBorder="1" applyAlignment="1">
      <alignment horizontal="left"/>
    </xf>
    <xf numFmtId="0" fontId="3" fillId="23" borderId="58" xfId="0" applyFont="1" applyFill="1" applyBorder="1" applyAlignment="1">
      <alignment horizontal="left"/>
    </xf>
    <xf numFmtId="0" fontId="3" fillId="23" borderId="14" xfId="0" applyFont="1" applyFill="1" applyBorder="1" applyAlignment="1">
      <alignment horizontal="left"/>
    </xf>
    <xf numFmtId="0" fontId="3" fillId="23" borderId="15" xfId="0" applyFont="1" applyFill="1" applyBorder="1" applyAlignment="1">
      <alignment horizontal="left"/>
    </xf>
    <xf numFmtId="165" fontId="3" fillId="23" borderId="13" xfId="0" applyNumberFormat="1" applyFont="1" applyFill="1" applyBorder="1" applyAlignment="1">
      <alignment horizontal="left"/>
    </xf>
    <xf numFmtId="165" fontId="3" fillId="23" borderId="58" xfId="0" applyNumberFormat="1" applyFont="1" applyFill="1" applyBorder="1" applyAlignment="1">
      <alignment horizontal="left"/>
    </xf>
    <xf numFmtId="165" fontId="3" fillId="23" borderId="16" xfId="0" applyNumberFormat="1" applyFont="1" applyFill="1" applyBorder="1" applyAlignment="1">
      <alignment horizontal="left"/>
    </xf>
    <xf numFmtId="165" fontId="3" fillId="23" borderId="14" xfId="0" applyNumberFormat="1" applyFont="1" applyFill="1" applyBorder="1" applyAlignment="1">
      <alignment horizontal="left"/>
    </xf>
    <xf numFmtId="165" fontId="3" fillId="23" borderId="15" xfId="0" applyNumberFormat="1" applyFont="1" applyFill="1" applyBorder="1" applyAlignment="1">
      <alignment horizontal="left"/>
    </xf>
    <xf numFmtId="3" fontId="3" fillId="23" borderId="58" xfId="0" applyNumberFormat="1" applyFont="1" applyFill="1" applyBorder="1" applyAlignment="1">
      <alignment horizontal="center"/>
    </xf>
    <xf numFmtId="0" fontId="3" fillId="23" borderId="58" xfId="0" applyFont="1" applyFill="1" applyBorder="1" applyAlignment="1">
      <alignment horizontal="center" vertical="center"/>
    </xf>
    <xf numFmtId="0" fontId="3" fillId="23" borderId="14" xfId="0" applyFont="1" applyFill="1" applyBorder="1" applyAlignment="1">
      <alignment horizontal="center" vertical="center"/>
    </xf>
    <xf numFmtId="0" fontId="3" fillId="23" borderId="15" xfId="0" applyFont="1" applyFill="1" applyBorder="1" applyAlignment="1">
      <alignment horizontal="center" vertical="center"/>
    </xf>
    <xf numFmtId="164" fontId="2" fillId="23" borderId="16" xfId="0" applyNumberFormat="1" applyFont="1" applyFill="1" applyBorder="1" applyAlignment="1">
      <alignment horizontal="left"/>
    </xf>
    <xf numFmtId="164" fontId="2" fillId="23" borderId="58" xfId="0" applyNumberFormat="1" applyFont="1" applyFill="1" applyBorder="1" applyAlignment="1">
      <alignment horizontal="left"/>
    </xf>
    <xf numFmtId="164" fontId="2" fillId="23" borderId="15" xfId="0" applyNumberFormat="1" applyFont="1" applyFill="1" applyBorder="1" applyAlignment="1">
      <alignment horizontal="left"/>
    </xf>
    <xf numFmtId="0" fontId="3" fillId="24" borderId="85" xfId="0" applyFont="1" applyFill="1" applyBorder="1" applyAlignment="1">
      <alignment horizontal="center" vertical="center"/>
    </xf>
    <xf numFmtId="0" fontId="3" fillId="23" borderId="13" xfId="0" applyFont="1" applyFill="1" applyBorder="1" applyAlignment="1">
      <alignment horizontal="center"/>
    </xf>
    <xf numFmtId="0" fontId="3" fillId="23" borderId="59" xfId="0" applyFont="1" applyFill="1" applyBorder="1" applyAlignment="1">
      <alignment horizontal="center"/>
    </xf>
    <xf numFmtId="0" fontId="3" fillId="0" borderId="22" xfId="0" applyFont="1" applyFill="1" applyBorder="1" applyAlignment="1">
      <alignment horizontal="center"/>
    </xf>
    <xf numFmtId="0" fontId="3" fillId="0" borderId="64" xfId="0" applyFont="1" applyFill="1" applyBorder="1" applyAlignment="1">
      <alignment horizontal="center"/>
    </xf>
    <xf numFmtId="0" fontId="3" fillId="0" borderId="59" xfId="0" applyFont="1" applyFill="1" applyBorder="1" applyAlignment="1">
      <alignment horizontal="center"/>
    </xf>
    <xf numFmtId="0" fontId="3" fillId="24" borderId="55" xfId="0" applyFont="1" applyFill="1" applyBorder="1" applyAlignment="1">
      <alignment horizontal="center" vertical="center"/>
    </xf>
    <xf numFmtId="0" fontId="3" fillId="0" borderId="18" xfId="0" applyFont="1" applyFill="1" applyBorder="1" applyAlignment="1">
      <alignment textRotation="90"/>
    </xf>
    <xf numFmtId="0" fontId="3" fillId="0" borderId="19" xfId="0" applyFont="1" applyFill="1" applyBorder="1" applyAlignment="1">
      <alignment textRotation="90"/>
    </xf>
    <xf numFmtId="0" fontId="3" fillId="0" borderId="32" xfId="0" applyFont="1" applyFill="1" applyBorder="1" applyAlignment="1">
      <alignment textRotation="90"/>
    </xf>
    <xf numFmtId="0" fontId="2" fillId="0" borderId="32" xfId="0" applyFont="1" applyFill="1" applyBorder="1" applyAlignment="1">
      <alignment textRotation="90"/>
    </xf>
    <xf numFmtId="0" fontId="3" fillId="0" borderId="8" xfId="0" applyFont="1" applyFill="1" applyBorder="1" applyAlignment="1">
      <alignment horizontal="center" vertical="center"/>
    </xf>
    <xf numFmtId="0" fontId="3" fillId="0" borderId="24" xfId="0" applyFont="1" applyFill="1" applyBorder="1" applyAlignment="1">
      <alignment horizontal="center" vertical="center"/>
    </xf>
    <xf numFmtId="0" fontId="3" fillId="21" borderId="56" xfId="0" applyFont="1" applyFill="1" applyBorder="1" applyAlignment="1">
      <alignment horizontal="center" textRotation="90" wrapText="1"/>
    </xf>
    <xf numFmtId="0" fontId="3" fillId="21" borderId="100" xfId="0" applyFont="1" applyFill="1" applyBorder="1" applyAlignment="1">
      <alignment horizontal="center"/>
    </xf>
    <xf numFmtId="0" fontId="3" fillId="0" borderId="96" xfId="0" applyFont="1" applyFill="1" applyBorder="1" applyAlignment="1">
      <alignment horizontal="center"/>
    </xf>
    <xf numFmtId="0" fontId="3" fillId="0" borderId="97" xfId="0" applyFont="1" applyFill="1" applyBorder="1" applyAlignment="1">
      <alignment horizontal="center"/>
    </xf>
    <xf numFmtId="0" fontId="3" fillId="0" borderId="96"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39" xfId="0" applyFont="1" applyFill="1" applyBorder="1" applyAlignment="1" applyProtection="1">
      <alignment horizontal="center"/>
      <protection locked="0"/>
    </xf>
    <xf numFmtId="0" fontId="3" fillId="0" borderId="35" xfId="0" applyFont="1" applyFill="1" applyBorder="1" applyAlignment="1" applyProtection="1">
      <alignment horizontal="center"/>
      <protection locked="0"/>
    </xf>
    <xf numFmtId="0" fontId="3" fillId="0" borderId="35" xfId="0" applyFont="1" applyFill="1" applyBorder="1" applyAlignment="1">
      <alignment horizontal="center" vertical="center"/>
    </xf>
    <xf numFmtId="0" fontId="3" fillId="0" borderId="97" xfId="0" applyFont="1" applyFill="1" applyBorder="1" applyAlignment="1">
      <alignment horizontal="center" vertical="center"/>
    </xf>
    <xf numFmtId="49" fontId="3" fillId="0" borderId="100" xfId="0" applyNumberFormat="1" applyFont="1" applyFill="1" applyBorder="1" applyAlignment="1" applyProtection="1">
      <alignment horizontal="center"/>
      <protection locked="0"/>
    </xf>
    <xf numFmtId="2" fontId="3" fillId="0" borderId="39" xfId="0" applyNumberFormat="1" applyFont="1" applyFill="1" applyBorder="1" applyAlignment="1" applyProtection="1">
      <alignment horizontal="left"/>
      <protection locked="0"/>
    </xf>
    <xf numFmtId="0" fontId="3" fillId="0" borderId="39" xfId="0" applyFont="1" applyFill="1" applyBorder="1" applyAlignment="1" applyProtection="1">
      <alignment horizontal="left"/>
      <protection locked="0"/>
    </xf>
    <xf numFmtId="0" fontId="3" fillId="0" borderId="35" xfId="0" applyFont="1" applyFill="1" applyBorder="1" applyAlignment="1" applyProtection="1">
      <alignment horizontal="left"/>
      <protection locked="0"/>
    </xf>
    <xf numFmtId="0" fontId="3" fillId="0" borderId="97" xfId="0" applyFont="1" applyFill="1" applyBorder="1" applyAlignment="1" applyProtection="1">
      <alignment horizontal="left"/>
      <protection locked="0"/>
    </xf>
    <xf numFmtId="165" fontId="3" fillId="0" borderId="96" xfId="0" applyNumberFormat="1" applyFont="1" applyFill="1" applyBorder="1" applyAlignment="1" applyProtection="1">
      <alignment horizontal="center"/>
      <protection locked="0"/>
    </xf>
    <xf numFmtId="165" fontId="3" fillId="0" borderId="37" xfId="0" applyNumberFormat="1" applyFont="1" applyFill="1" applyBorder="1" applyAlignment="1" applyProtection="1">
      <alignment horizontal="center"/>
      <protection locked="0"/>
    </xf>
    <xf numFmtId="165" fontId="3" fillId="0" borderId="36" xfId="0" applyNumberFormat="1" applyFont="1" applyFill="1" applyBorder="1" applyAlignment="1" applyProtection="1">
      <alignment horizontal="center"/>
      <protection locked="0"/>
    </xf>
    <xf numFmtId="165" fontId="3" fillId="0" borderId="97" xfId="0" applyNumberFormat="1" applyFont="1" applyFill="1" applyBorder="1" applyAlignment="1" applyProtection="1">
      <alignment horizontal="center"/>
      <protection locked="0"/>
    </xf>
    <xf numFmtId="49" fontId="3" fillId="0" borderId="96" xfId="0" applyNumberFormat="1" applyFont="1" applyFill="1" applyBorder="1" applyAlignment="1" applyProtection="1">
      <alignment horizontal="left"/>
      <protection locked="0"/>
    </xf>
    <xf numFmtId="49" fontId="3" fillId="0" borderId="39" xfId="0" applyNumberFormat="1" applyFont="1" applyFill="1" applyBorder="1" applyAlignment="1" applyProtection="1">
      <alignment horizontal="center"/>
      <protection locked="0"/>
    </xf>
    <xf numFmtId="0" fontId="3" fillId="0" borderId="39" xfId="0" applyFont="1" applyFill="1" applyBorder="1" applyAlignment="1" applyProtection="1">
      <alignment horizontal="left" vertical="center"/>
      <protection locked="0"/>
    </xf>
    <xf numFmtId="0" fontId="13" fillId="0" borderId="96" xfId="0" applyFont="1" applyFill="1" applyBorder="1" applyAlignment="1" applyProtection="1">
      <alignment horizontal="left"/>
      <protection locked="0"/>
    </xf>
    <xf numFmtId="0" fontId="13" fillId="0" borderId="39" xfId="0" applyFont="1" applyFill="1" applyBorder="1" applyAlignment="1" applyProtection="1">
      <alignment horizontal="left"/>
      <protection locked="0"/>
    </xf>
    <xf numFmtId="0" fontId="13" fillId="0" borderId="35" xfId="0" applyFont="1" applyFill="1" applyBorder="1" applyAlignment="1" applyProtection="1">
      <alignment horizontal="left"/>
      <protection locked="0"/>
    </xf>
    <xf numFmtId="0" fontId="3" fillId="0" borderId="96" xfId="0" applyFont="1" applyFill="1" applyBorder="1" applyAlignment="1" applyProtection="1">
      <alignment horizontal="center"/>
      <protection locked="0"/>
    </xf>
    <xf numFmtId="0" fontId="3" fillId="0" borderId="96" xfId="0" applyFont="1" applyFill="1" applyBorder="1" applyAlignment="1" applyProtection="1">
      <alignment horizontal="left"/>
      <protection locked="0"/>
    </xf>
    <xf numFmtId="0" fontId="0" fillId="0" borderId="0" xfId="0" applyAlignment="1">
      <alignment wrapText="1"/>
    </xf>
    <xf numFmtId="0" fontId="0" fillId="4" borderId="0" xfId="0" applyFill="1" applyAlignment="1">
      <alignment wrapText="1"/>
    </xf>
    <xf numFmtId="0" fontId="14" fillId="5" borderId="101" xfId="0" applyFont="1" applyFill="1" applyBorder="1" applyAlignment="1">
      <alignment vertical="center"/>
    </xf>
    <xf numFmtId="0" fontId="14" fillId="5" borderId="102" xfId="0" applyFont="1" applyFill="1" applyBorder="1" applyAlignment="1">
      <alignment vertical="center"/>
    </xf>
    <xf numFmtId="0" fontId="23" fillId="4" borderId="103" xfId="0" applyFont="1" applyFill="1" applyBorder="1" applyAlignment="1">
      <alignment horizontal="left" vertical="top"/>
    </xf>
    <xf numFmtId="0" fontId="7" fillId="4" borderId="104" xfId="0" applyFont="1" applyFill="1" applyBorder="1" applyAlignment="1">
      <alignment wrapText="1"/>
    </xf>
    <xf numFmtId="0" fontId="7" fillId="4" borderId="103" xfId="0" applyFont="1" applyFill="1" applyBorder="1" applyAlignment="1">
      <alignment horizontal="left" vertical="top"/>
    </xf>
    <xf numFmtId="0" fontId="23" fillId="18" borderId="103" xfId="0" applyFont="1" applyFill="1" applyBorder="1" applyAlignment="1">
      <alignment vertical="center" wrapText="1"/>
    </xf>
    <xf numFmtId="0" fontId="7" fillId="18" borderId="104" xfId="0" applyFont="1" applyFill="1" applyBorder="1" applyAlignment="1">
      <alignment vertical="center" wrapText="1"/>
    </xf>
    <xf numFmtId="0" fontId="7" fillId="18" borderId="103" xfId="0" applyFont="1" applyFill="1" applyBorder="1" applyAlignment="1">
      <alignment vertical="center" wrapText="1"/>
    </xf>
    <xf numFmtId="0" fontId="4" fillId="18" borderId="105" xfId="0" applyFont="1" applyFill="1" applyBorder="1" applyAlignment="1">
      <alignment vertical="center" wrapText="1"/>
    </xf>
    <xf numFmtId="0" fontId="3" fillId="18" borderId="106" xfId="0" applyFont="1" applyFill="1" applyBorder="1" applyAlignment="1">
      <alignment vertical="center" wrapText="1"/>
    </xf>
    <xf numFmtId="0" fontId="0" fillId="4" borderId="0" xfId="0" applyFill="1"/>
    <xf numFmtId="49" fontId="3" fillId="21" borderId="13" xfId="0" applyNumberFormat="1" applyFont="1" applyFill="1" applyBorder="1" applyAlignment="1">
      <alignment horizontal="center" vertical="center" wrapText="1"/>
    </xf>
    <xf numFmtId="49" fontId="3" fillId="21" borderId="18" xfId="0" applyNumberFormat="1" applyFont="1" applyFill="1" applyBorder="1" applyAlignment="1">
      <alignment horizontal="center" textRotation="90"/>
    </xf>
    <xf numFmtId="49" fontId="3" fillId="21" borderId="22" xfId="0" applyNumberFormat="1" applyFont="1" applyFill="1" applyBorder="1" applyAlignment="1" applyProtection="1">
      <alignment horizontal="center"/>
    </xf>
    <xf numFmtId="49" fontId="3" fillId="0" borderId="18" xfId="0" applyNumberFormat="1" applyFont="1" applyFill="1" applyBorder="1" applyAlignment="1" applyProtection="1">
      <alignment horizontal="center"/>
      <protection locked="0"/>
    </xf>
    <xf numFmtId="49" fontId="3" fillId="21" borderId="94" xfId="0" applyNumberFormat="1" applyFont="1" applyFill="1" applyBorder="1" applyAlignment="1" applyProtection="1">
      <alignment horizontal="center"/>
    </xf>
    <xf numFmtId="49" fontId="3" fillId="0" borderId="37" xfId="0" applyNumberFormat="1" applyFont="1" applyFill="1" applyBorder="1" applyAlignment="1" applyProtection="1">
      <alignment horizontal="center"/>
      <protection locked="0"/>
    </xf>
    <xf numFmtId="49" fontId="3" fillId="21" borderId="18" xfId="0" applyNumberFormat="1" applyFont="1" applyFill="1" applyBorder="1" applyAlignment="1" applyProtection="1">
      <alignment horizontal="center"/>
    </xf>
    <xf numFmtId="49" fontId="3" fillId="0" borderId="18" xfId="0" applyNumberFormat="1" applyFont="1" applyFill="1" applyBorder="1" applyAlignment="1" applyProtection="1">
      <alignment horizontal="center" vertical="center"/>
      <protection locked="0"/>
    </xf>
    <xf numFmtId="0" fontId="3" fillId="0" borderId="18" xfId="0" applyNumberFormat="1" applyFont="1" applyFill="1" applyBorder="1" applyAlignment="1" applyProtection="1">
      <alignment horizontal="center"/>
      <protection locked="0"/>
    </xf>
    <xf numFmtId="49" fontId="3" fillId="0" borderId="59" xfId="0" applyNumberFormat="1" applyFont="1" applyFill="1" applyBorder="1" applyAlignment="1" applyProtection="1">
      <alignment horizontal="center"/>
      <protection locked="0"/>
    </xf>
    <xf numFmtId="0" fontId="3" fillId="22" borderId="10" xfId="0" applyFont="1" applyFill="1" applyBorder="1" applyAlignment="1" applyProtection="1">
      <alignment horizontal="center" textRotation="90" wrapText="1"/>
    </xf>
    <xf numFmtId="3" fontId="3" fillId="23" borderId="83" xfId="0" applyNumberFormat="1" applyFont="1" applyFill="1" applyBorder="1" applyAlignment="1">
      <alignment horizontal="center" vertical="center"/>
    </xf>
    <xf numFmtId="0" fontId="3" fillId="21" borderId="3" xfId="0" applyFont="1" applyFill="1" applyBorder="1" applyAlignment="1" applyProtection="1">
      <alignment horizontal="left" vertical="center"/>
    </xf>
    <xf numFmtId="0" fontId="3" fillId="0" borderId="10" xfId="0" applyFont="1" applyFill="1" applyBorder="1" applyAlignment="1" applyProtection="1">
      <alignment horizontal="left" vertical="center"/>
      <protection locked="0"/>
    </xf>
    <xf numFmtId="0" fontId="3" fillId="21" borderId="91" xfId="0" applyFont="1" applyFill="1" applyBorder="1" applyAlignment="1" applyProtection="1">
      <alignment horizontal="left" vertical="center"/>
    </xf>
    <xf numFmtId="0" fontId="3" fillId="0" borderId="97" xfId="0" applyFont="1" applyFill="1" applyBorder="1" applyAlignment="1" applyProtection="1">
      <alignment horizontal="left" vertical="center"/>
      <protection locked="0"/>
    </xf>
    <xf numFmtId="0" fontId="3" fillId="21" borderId="10" xfId="0" applyFont="1" applyFill="1" applyBorder="1" applyAlignment="1" applyProtection="1">
      <alignment horizontal="left" vertical="center"/>
    </xf>
    <xf numFmtId="0" fontId="3" fillId="0" borderId="30" xfId="0" applyFont="1" applyFill="1" applyBorder="1" applyAlignment="1" applyProtection="1">
      <alignment horizontal="left" vertical="center"/>
      <protection locked="0"/>
    </xf>
    <xf numFmtId="0" fontId="3" fillId="22" borderId="12" xfId="0" applyFont="1" applyFill="1" applyBorder="1" applyAlignment="1">
      <alignment horizontal="center" vertical="center" wrapText="1"/>
    </xf>
    <xf numFmtId="0" fontId="3" fillId="22" borderId="0" xfId="0" applyFont="1" applyFill="1" applyBorder="1" applyAlignment="1" applyProtection="1">
      <alignment horizontal="center" textRotation="90" wrapText="1"/>
    </xf>
    <xf numFmtId="3" fontId="3" fillId="23" borderId="5" xfId="0" applyNumberFormat="1" applyFont="1" applyFill="1" applyBorder="1" applyAlignment="1">
      <alignment horizontal="center" vertical="center"/>
    </xf>
    <xf numFmtId="0" fontId="3" fillId="21" borderId="20" xfId="0" applyFont="1" applyFill="1" applyBorder="1" applyAlignment="1" applyProtection="1">
      <alignment horizontal="left" vertical="center"/>
    </xf>
    <xf numFmtId="0" fontId="3" fillId="0" borderId="0" xfId="0" applyFont="1" applyFill="1" applyBorder="1" applyAlignment="1" applyProtection="1">
      <alignment horizontal="left" vertical="center"/>
      <protection locked="0"/>
    </xf>
    <xf numFmtId="0" fontId="3" fillId="21" borderId="95" xfId="0" applyFont="1" applyFill="1" applyBorder="1" applyAlignment="1" applyProtection="1">
      <alignment horizontal="left" vertical="center"/>
    </xf>
    <xf numFmtId="0" fontId="3" fillId="0" borderId="36" xfId="0" applyFont="1" applyFill="1" applyBorder="1" applyAlignment="1" applyProtection="1">
      <alignment horizontal="left" vertical="center"/>
      <protection locked="0"/>
    </xf>
    <xf numFmtId="0" fontId="3" fillId="21" borderId="0" xfId="0" applyFont="1" applyFill="1" applyBorder="1" applyAlignment="1" applyProtection="1">
      <alignment horizontal="left" vertical="center"/>
    </xf>
    <xf numFmtId="0" fontId="3" fillId="0" borderId="82" xfId="0" applyFont="1" applyFill="1" applyBorder="1" applyAlignment="1" applyProtection="1">
      <alignment horizontal="left" vertical="center"/>
      <protection locked="0"/>
    </xf>
    <xf numFmtId="14" fontId="3" fillId="0" borderId="0" xfId="0" applyNumberFormat="1" applyFont="1" applyFill="1" applyBorder="1" applyAlignment="1" applyProtection="1">
      <alignment horizontal="left" vertical="center"/>
      <protection locked="0"/>
    </xf>
    <xf numFmtId="0" fontId="3" fillId="23" borderId="18" xfId="0" applyNumberFormat="1" applyFont="1" applyFill="1" applyBorder="1" applyAlignment="1">
      <alignment horizontal="center" vertical="center"/>
    </xf>
    <xf numFmtId="0" fontId="3" fillId="22" borderId="19" xfId="0" applyFont="1" applyFill="1" applyBorder="1" applyAlignment="1" applyProtection="1">
      <alignment horizontal="center" textRotation="90"/>
    </xf>
    <xf numFmtId="3" fontId="3" fillId="23" borderId="7" xfId="0" applyNumberFormat="1" applyFont="1" applyFill="1" applyBorder="1" applyAlignment="1">
      <alignment horizontal="center" vertical="center"/>
    </xf>
    <xf numFmtId="0" fontId="3" fillId="21" borderId="23" xfId="0" applyFont="1" applyFill="1" applyBorder="1" applyAlignment="1" applyProtection="1">
      <alignment horizontal="left" vertical="center"/>
    </xf>
    <xf numFmtId="0" fontId="3" fillId="0" borderId="19" xfId="0" applyFont="1" applyFill="1" applyBorder="1" applyAlignment="1" applyProtection="1">
      <alignment horizontal="left" vertical="center"/>
      <protection locked="0"/>
    </xf>
    <xf numFmtId="0" fontId="3" fillId="21" borderId="93" xfId="0" applyFont="1" applyFill="1" applyBorder="1" applyAlignment="1" applyProtection="1">
      <alignment horizontal="left" vertical="center"/>
    </xf>
    <xf numFmtId="0" fontId="3" fillId="0" borderId="35" xfId="0" applyFont="1" applyFill="1" applyBorder="1" applyAlignment="1" applyProtection="1">
      <alignment horizontal="left" vertical="center"/>
      <protection locked="0"/>
    </xf>
    <xf numFmtId="0" fontId="3" fillId="21" borderId="19" xfId="0" applyFont="1" applyFill="1" applyBorder="1" applyAlignment="1" applyProtection="1">
      <alignment horizontal="left" vertical="center"/>
    </xf>
    <xf numFmtId="0" fontId="3" fillId="0" borderId="31" xfId="0" applyFont="1" applyFill="1" applyBorder="1" applyAlignment="1" applyProtection="1">
      <alignment horizontal="left" vertical="center"/>
      <protection locked="0"/>
    </xf>
    <xf numFmtId="3" fontId="3" fillId="23" borderId="84" xfId="0" applyNumberFormat="1" applyFont="1" applyFill="1" applyBorder="1" applyAlignment="1">
      <alignment horizontal="center" vertical="center"/>
    </xf>
    <xf numFmtId="14" fontId="3" fillId="23" borderId="8" xfId="0" applyNumberFormat="1" applyFont="1" applyFill="1" applyBorder="1" applyAlignment="1">
      <alignment horizontal="center"/>
    </xf>
    <xf numFmtId="14" fontId="3" fillId="23" borderId="27" xfId="0" applyNumberFormat="1" applyFont="1" applyFill="1" applyBorder="1" applyAlignment="1">
      <alignment horizontal="center"/>
    </xf>
    <xf numFmtId="14" fontId="3" fillId="0" borderId="32" xfId="0" applyNumberFormat="1" applyFont="1" applyFill="1" applyBorder="1" applyAlignment="1" applyProtection="1">
      <alignment horizontal="left" vertical="center"/>
      <protection locked="0"/>
    </xf>
    <xf numFmtId="164" fontId="2" fillId="21" borderId="17" xfId="0" applyNumberFormat="1" applyFont="1" applyFill="1" applyBorder="1" applyAlignment="1">
      <alignment horizontal="left"/>
    </xf>
    <xf numFmtId="164" fontId="2" fillId="21" borderId="34" xfId="0" applyNumberFormat="1" applyFont="1" applyFill="1" applyBorder="1" applyAlignment="1">
      <alignment horizontal="left"/>
    </xf>
    <xf numFmtId="164" fontId="2" fillId="21" borderId="0" xfId="0" applyNumberFormat="1" applyFont="1" applyFill="1" applyBorder="1" applyAlignment="1">
      <alignment horizontal="left"/>
    </xf>
    <xf numFmtId="164" fontId="2" fillId="21" borderId="18" xfId="0" applyNumberFormat="1" applyFont="1" applyFill="1" applyBorder="1" applyAlignment="1">
      <alignment horizontal="left"/>
    </xf>
    <xf numFmtId="0" fontId="3" fillId="4" borderId="0" xfId="0" applyFont="1" applyFill="1" applyBorder="1" applyAlignment="1" applyProtection="1">
      <alignment vertical="center"/>
      <protection locked="0"/>
    </xf>
    <xf numFmtId="0" fontId="3" fillId="4" borderId="36" xfId="0" applyFont="1" applyFill="1" applyBorder="1" applyAlignment="1" applyProtection="1">
      <alignment vertical="center"/>
      <protection locked="0"/>
    </xf>
    <xf numFmtId="0" fontId="3" fillId="4" borderId="18" xfId="0" applyFont="1" applyFill="1" applyBorder="1" applyAlignment="1" applyProtection="1">
      <alignment vertical="center"/>
      <protection locked="0"/>
    </xf>
    <xf numFmtId="0" fontId="4" fillId="21" borderId="20" xfId="0" applyNumberFormat="1" applyFont="1" applyFill="1" applyBorder="1" applyAlignment="1">
      <alignment vertical="center"/>
    </xf>
    <xf numFmtId="0" fontId="3" fillId="23" borderId="107" xfId="0" applyNumberFormat="1" applyFont="1" applyFill="1" applyBorder="1" applyAlignment="1">
      <alignment horizontal="center" vertical="center"/>
    </xf>
    <xf numFmtId="0" fontId="3" fillId="23" borderId="28" xfId="0" applyFont="1" applyFill="1" applyBorder="1" applyAlignment="1">
      <alignment horizontal="center" vertical="center"/>
    </xf>
    <xf numFmtId="0" fontId="3" fillId="21" borderId="0" xfId="0" applyFont="1" applyFill="1" applyAlignment="1">
      <alignment vertical="center"/>
    </xf>
    <xf numFmtId="165" fontId="3" fillId="21" borderId="0" xfId="0" applyNumberFormat="1" applyFont="1" applyFill="1" applyAlignment="1">
      <alignment horizontal="left" vertical="center"/>
    </xf>
    <xf numFmtId="168" fontId="3" fillId="4" borderId="0" xfId="0" applyNumberFormat="1" applyFont="1" applyFill="1" applyBorder="1" applyAlignment="1" applyProtection="1">
      <alignment vertical="center"/>
      <protection locked="0"/>
    </xf>
    <xf numFmtId="168" fontId="3" fillId="4" borderId="18" xfId="0" applyNumberFormat="1" applyFont="1" applyFill="1" applyBorder="1" applyAlignment="1" applyProtection="1">
      <alignment vertical="center"/>
      <protection locked="0"/>
    </xf>
    <xf numFmtId="168" fontId="3" fillId="4" borderId="36" xfId="0" applyNumberFormat="1" applyFont="1" applyFill="1" applyBorder="1" applyAlignment="1" applyProtection="1">
      <alignment vertical="center"/>
      <protection locked="0"/>
    </xf>
    <xf numFmtId="165" fontId="3" fillId="22" borderId="0" xfId="0" applyNumberFormat="1" applyFont="1" applyFill="1" applyBorder="1" applyAlignment="1" applyProtection="1">
      <alignment horizontal="left" vertical="center"/>
    </xf>
    <xf numFmtId="165" fontId="3" fillId="22" borderId="0" xfId="0" applyNumberFormat="1" applyFont="1" applyFill="1" applyBorder="1" applyAlignment="1" applyProtection="1">
      <alignment vertical="center"/>
    </xf>
    <xf numFmtId="165" fontId="2" fillId="22" borderId="0" xfId="0" applyNumberFormat="1" applyFont="1" applyFill="1" applyBorder="1" applyAlignment="1" applyProtection="1">
      <alignment horizontal="left"/>
    </xf>
    <xf numFmtId="0" fontId="1" fillId="22" borderId="58" xfId="0" applyNumberFormat="1" applyFont="1" applyFill="1" applyBorder="1" applyAlignment="1">
      <alignment vertical="center" wrapText="1"/>
    </xf>
    <xf numFmtId="0" fontId="13" fillId="0" borderId="63" xfId="0" applyFont="1" applyFill="1" applyBorder="1" applyAlignment="1" applyProtection="1">
      <alignment horizontal="left"/>
      <protection locked="0"/>
    </xf>
    <xf numFmtId="0" fontId="13" fillId="0" borderId="73" xfId="0" applyFont="1" applyFill="1" applyBorder="1" applyAlignment="1" applyProtection="1">
      <alignment horizontal="left"/>
      <protection locked="0"/>
    </xf>
    <xf numFmtId="0" fontId="13" fillId="0" borderId="64" xfId="0" applyFont="1" applyFill="1" applyBorder="1" applyAlignment="1" applyProtection="1">
      <alignment horizontal="left"/>
      <protection locked="0"/>
    </xf>
    <xf numFmtId="0" fontId="1" fillId="21" borderId="94" xfId="0" applyFont="1" applyFill="1" applyBorder="1" applyAlignment="1" applyProtection="1">
      <alignment horizontal="left"/>
      <protection locked="0"/>
    </xf>
    <xf numFmtId="0" fontId="3" fillId="0" borderId="32" xfId="0" applyFont="1" applyFill="1" applyBorder="1" applyAlignment="1" applyProtection="1">
      <alignment horizontal="center"/>
    </xf>
    <xf numFmtId="0" fontId="3" fillId="0" borderId="1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49" fontId="3" fillId="0" borderId="18" xfId="0" applyNumberFormat="1" applyFont="1" applyFill="1" applyBorder="1" applyAlignment="1" applyProtection="1">
      <alignment horizontal="center"/>
    </xf>
    <xf numFmtId="0" fontId="3" fillId="0" borderId="19" xfId="0" applyFont="1" applyFill="1" applyBorder="1" applyAlignment="1" applyProtection="1">
      <alignment horizontal="left" vertical="center"/>
    </xf>
    <xf numFmtId="0" fontId="1" fillId="0" borderId="9" xfId="0" applyFont="1" applyFill="1" applyBorder="1" applyAlignment="1" applyProtection="1">
      <alignment horizontal="left"/>
      <protection locked="0"/>
    </xf>
    <xf numFmtId="0" fontId="1" fillId="0" borderId="32" xfId="0" applyFont="1" applyFill="1" applyBorder="1" applyAlignment="1" applyProtection="1">
      <alignment horizontal="left"/>
      <protection locked="0"/>
    </xf>
    <xf numFmtId="0" fontId="10" fillId="18" borderId="65" xfId="0" applyFont="1" applyFill="1" applyBorder="1" applyAlignment="1">
      <alignment horizontal="left" vertical="center"/>
    </xf>
    <xf numFmtId="49" fontId="3" fillId="23" borderId="5" xfId="0" applyNumberFormat="1" applyFont="1" applyFill="1" applyBorder="1" applyAlignment="1">
      <alignment horizontal="center" vertical="center"/>
    </xf>
    <xf numFmtId="49" fontId="3" fillId="23" borderId="85" xfId="0" applyNumberFormat="1" applyFont="1" applyFill="1" applyBorder="1" applyAlignment="1">
      <alignment horizontal="center" vertical="center"/>
    </xf>
    <xf numFmtId="49" fontId="3" fillId="25" borderId="9" xfId="0" applyNumberFormat="1" applyFont="1" applyFill="1" applyBorder="1" applyAlignment="1" applyProtection="1">
      <alignment horizontal="left"/>
      <protection locked="0"/>
    </xf>
    <xf numFmtId="2" fontId="3" fillId="0" borderId="32" xfId="0" applyNumberFormat="1" applyFont="1" applyFill="1" applyBorder="1" applyAlignment="1" applyProtection="1">
      <alignment horizontal="center"/>
      <protection locked="0"/>
    </xf>
    <xf numFmtId="165" fontId="3" fillId="0" borderId="9" xfId="0" applyNumberFormat="1" applyFont="1" applyFill="1" applyBorder="1" applyAlignment="1" applyProtection="1">
      <alignment horizontal="center"/>
    </xf>
    <xf numFmtId="165" fontId="3" fillId="0" borderId="18" xfId="0" applyNumberFormat="1" applyFont="1" applyFill="1" applyBorder="1" applyAlignment="1" applyProtection="1">
      <alignment horizontal="center"/>
    </xf>
    <xf numFmtId="165" fontId="3" fillId="0" borderId="0" xfId="0" applyNumberFormat="1" applyFont="1" applyFill="1" applyBorder="1" applyAlignment="1" applyProtection="1">
      <alignment horizontal="center"/>
    </xf>
    <xf numFmtId="165" fontId="3" fillId="0" borderId="10" xfId="0" applyNumberFormat="1" applyFont="1" applyFill="1" applyBorder="1" applyAlignment="1" applyProtection="1">
      <alignment horizontal="center"/>
    </xf>
    <xf numFmtId="49" fontId="3" fillId="0" borderId="9" xfId="0" applyNumberFormat="1" applyFont="1" applyFill="1" applyBorder="1" applyAlignment="1" applyProtection="1">
      <alignment horizontal="left"/>
    </xf>
    <xf numFmtId="49" fontId="3" fillId="0" borderId="32" xfId="0" applyNumberFormat="1" applyFont="1" applyFill="1" applyBorder="1" applyAlignment="1" applyProtection="1">
      <alignment horizontal="center"/>
    </xf>
    <xf numFmtId="0" fontId="10" fillId="4" borderId="0" xfId="0" applyFont="1" applyFill="1" applyBorder="1" applyAlignment="1">
      <alignment vertical="center"/>
    </xf>
    <xf numFmtId="0" fontId="10" fillId="4" borderId="43" xfId="0" applyFont="1" applyFill="1" applyBorder="1" applyAlignment="1">
      <alignment vertical="center"/>
    </xf>
    <xf numFmtId="0" fontId="10" fillId="18" borderId="65" xfId="0" applyFont="1" applyFill="1" applyBorder="1" applyAlignment="1">
      <alignment vertical="center"/>
    </xf>
    <xf numFmtId="0" fontId="10" fillId="18" borderId="0" xfId="0" applyFont="1" applyFill="1" applyBorder="1" applyAlignment="1">
      <alignment vertical="center"/>
    </xf>
    <xf numFmtId="0" fontId="10" fillId="18" borderId="43" xfId="0" applyFont="1" applyFill="1" applyBorder="1" applyAlignment="1">
      <alignment vertical="center"/>
    </xf>
    <xf numFmtId="0" fontId="10" fillId="4" borderId="0" xfId="0" applyFont="1" applyFill="1" applyBorder="1" applyAlignment="1">
      <alignment horizontal="left" vertical="center"/>
    </xf>
    <xf numFmtId="0" fontId="10" fillId="4" borderId="43" xfId="0" applyFont="1" applyFill="1" applyBorder="1" applyAlignment="1">
      <alignment horizontal="left" vertical="center"/>
    </xf>
    <xf numFmtId="0" fontId="10" fillId="4" borderId="80" xfId="0" applyFont="1" applyFill="1" applyBorder="1" applyAlignment="1">
      <alignment vertical="center"/>
    </xf>
    <xf numFmtId="0" fontId="10" fillId="4" borderId="36" xfId="0" applyFont="1" applyFill="1" applyBorder="1" applyAlignment="1">
      <alignment vertical="center"/>
    </xf>
    <xf numFmtId="0" fontId="10" fillId="4" borderId="61" xfId="0" applyFont="1" applyFill="1" applyBorder="1" applyAlignment="1">
      <alignment vertical="center"/>
    </xf>
    <xf numFmtId="0" fontId="10" fillId="18" borderId="0" xfId="0" applyFont="1" applyFill="1" applyBorder="1" applyAlignment="1">
      <alignment horizontal="left" vertical="center"/>
    </xf>
    <xf numFmtId="0" fontId="10" fillId="18" borderId="43" xfId="0" applyFont="1" applyFill="1" applyBorder="1" applyAlignment="1">
      <alignment horizontal="left" vertical="center"/>
    </xf>
    <xf numFmtId="0" fontId="10" fillId="4" borderId="65" xfId="0" applyFont="1" applyFill="1" applyBorder="1" applyAlignment="1">
      <alignment vertical="center"/>
    </xf>
    <xf numFmtId="0" fontId="10" fillId="4" borderId="81" xfId="0" applyFont="1" applyFill="1" applyBorder="1" applyAlignment="1">
      <alignment vertical="center"/>
    </xf>
    <xf numFmtId="0" fontId="10" fillId="4" borderId="45" xfId="0" applyFont="1" applyFill="1" applyBorder="1" applyAlignment="1">
      <alignment horizontal="left" vertical="center"/>
    </xf>
    <xf numFmtId="0" fontId="10" fillId="4" borderId="62" xfId="0" applyFont="1" applyFill="1" applyBorder="1" applyAlignment="1">
      <alignment horizontal="left" vertical="center"/>
    </xf>
    <xf numFmtId="0" fontId="7" fillId="4" borderId="0" xfId="0" applyFont="1" applyFill="1" applyAlignment="1">
      <alignment vertical="center"/>
    </xf>
    <xf numFmtId="0" fontId="3" fillId="4" borderId="0" xfId="0" applyFont="1" applyFill="1" applyBorder="1" applyAlignment="1" applyProtection="1">
      <alignment vertical="center"/>
    </xf>
    <xf numFmtId="164" fontId="2" fillId="4" borderId="0" xfId="0" applyNumberFormat="1" applyFont="1" applyFill="1" applyBorder="1" applyAlignment="1" applyProtection="1">
      <alignment horizontal="left"/>
    </xf>
    <xf numFmtId="0" fontId="2" fillId="4" borderId="50" xfId="0" quotePrefix="1" applyFont="1" applyFill="1" applyBorder="1" applyAlignment="1">
      <alignment horizontal="left" vertical="center" wrapText="1"/>
    </xf>
    <xf numFmtId="49" fontId="3" fillId="22" borderId="0" xfId="0" applyNumberFormat="1" applyFont="1" applyFill="1" applyBorder="1" applyAlignment="1" applyProtection="1">
      <alignment vertical="center"/>
    </xf>
    <xf numFmtId="49" fontId="3" fillId="22" borderId="12" xfId="0" applyNumberFormat="1" applyFont="1" applyFill="1" applyBorder="1" applyAlignment="1" applyProtection="1">
      <alignment vertical="center"/>
    </xf>
    <xf numFmtId="49" fontId="3" fillId="4" borderId="0" xfId="0" applyNumberFormat="1" applyFont="1" applyFill="1" applyBorder="1" applyAlignment="1" applyProtection="1">
      <alignment vertical="center"/>
    </xf>
    <xf numFmtId="0" fontId="3" fillId="4" borderId="39" xfId="0" applyFont="1" applyFill="1" applyBorder="1" applyAlignment="1" applyProtection="1">
      <alignment vertical="center"/>
      <protection locked="0"/>
    </xf>
    <xf numFmtId="0" fontId="3" fillId="22" borderId="32" xfId="0" applyNumberFormat="1" applyFont="1" applyFill="1" applyBorder="1" applyAlignment="1" applyProtection="1">
      <alignment vertical="center"/>
    </xf>
    <xf numFmtId="0" fontId="3" fillId="21" borderId="32" xfId="0" applyNumberFormat="1" applyFont="1" applyFill="1" applyBorder="1" applyAlignment="1">
      <alignment vertical="center"/>
    </xf>
    <xf numFmtId="0" fontId="3" fillId="4" borderId="32" xfId="0" applyNumberFormat="1" applyFont="1" applyFill="1" applyBorder="1" applyAlignment="1" applyProtection="1">
      <alignment vertical="center"/>
      <protection locked="0"/>
    </xf>
    <xf numFmtId="0" fontId="3" fillId="4" borderId="39" xfId="0" applyNumberFormat="1" applyFont="1" applyFill="1" applyBorder="1" applyAlignment="1" applyProtection="1">
      <alignment vertical="center"/>
      <protection locked="0"/>
    </xf>
    <xf numFmtId="0" fontId="3" fillId="21" borderId="32" xfId="0" applyNumberFormat="1" applyFont="1" applyFill="1" applyBorder="1" applyAlignment="1" applyProtection="1">
      <alignment vertical="center"/>
    </xf>
    <xf numFmtId="49" fontId="3" fillId="21" borderId="18" xfId="0" applyNumberFormat="1" applyFont="1" applyFill="1" applyBorder="1" applyAlignment="1" applyProtection="1">
      <alignment vertical="center"/>
    </xf>
    <xf numFmtId="0" fontId="3" fillId="21" borderId="32" xfId="0" applyNumberFormat="1" applyFont="1" applyFill="1" applyBorder="1" applyAlignment="1" applyProtection="1">
      <alignment vertical="center"/>
      <protection locked="0"/>
    </xf>
    <xf numFmtId="0" fontId="3" fillId="21" borderId="18" xfId="0" applyFont="1" applyFill="1" applyBorder="1" applyAlignment="1" applyProtection="1">
      <alignment vertical="center"/>
      <protection locked="0"/>
    </xf>
    <xf numFmtId="0" fontId="3" fillId="22" borderId="18" xfId="0" applyFont="1" applyFill="1" applyBorder="1" applyAlignment="1" applyProtection="1">
      <alignment vertical="center"/>
    </xf>
    <xf numFmtId="0" fontId="3" fillId="21" borderId="18" xfId="0" applyFont="1" applyFill="1" applyBorder="1" applyAlignment="1">
      <alignment vertical="center"/>
    </xf>
    <xf numFmtId="169" fontId="3" fillId="0" borderId="32" xfId="0" applyNumberFormat="1" applyFont="1" applyFill="1" applyBorder="1" applyAlignment="1" applyProtection="1">
      <alignment horizontal="left"/>
      <protection locked="0"/>
    </xf>
    <xf numFmtId="165" fontId="3" fillId="0" borderId="32" xfId="0" applyNumberFormat="1" applyFont="1" applyFill="1" applyBorder="1" applyAlignment="1" applyProtection="1">
      <alignment horizontal="center"/>
      <protection locked="0"/>
    </xf>
    <xf numFmtId="0" fontId="0" fillId="0" borderId="0" xfId="0" applyAlignment="1">
      <alignment horizontal="left" vertical="center" wrapText="1"/>
    </xf>
    <xf numFmtId="14" fontId="0" fillId="0" borderId="0" xfId="0" applyNumberFormat="1" applyAlignment="1">
      <alignment horizontal="left" vertical="center" wrapText="1"/>
    </xf>
    <xf numFmtId="0" fontId="10" fillId="21" borderId="8" xfId="0" applyFont="1" applyFill="1" applyBorder="1" applyAlignment="1">
      <alignment horizontal="center"/>
    </xf>
    <xf numFmtId="0" fontId="10" fillId="24" borderId="8" xfId="0" applyFont="1" applyFill="1" applyBorder="1" applyAlignment="1">
      <alignment horizontal="center" vertical="center"/>
    </xf>
    <xf numFmtId="0" fontId="10" fillId="24" borderId="10" xfId="0" applyFont="1" applyFill="1" applyBorder="1" applyAlignment="1">
      <alignment horizontal="center" vertical="center"/>
    </xf>
    <xf numFmtId="0" fontId="10" fillId="24" borderId="9" xfId="0" applyFont="1" applyFill="1" applyBorder="1" applyAlignment="1">
      <alignment horizontal="center" vertical="center"/>
    </xf>
    <xf numFmtId="0" fontId="10" fillId="24" borderId="32" xfId="0" applyFont="1" applyFill="1" applyBorder="1" applyAlignment="1">
      <alignment horizontal="center" vertical="center"/>
    </xf>
    <xf numFmtId="0" fontId="10" fillId="0" borderId="32" xfId="0" applyFont="1" applyFill="1" applyBorder="1" applyAlignment="1" applyProtection="1">
      <alignment horizontal="center"/>
      <protection locked="0"/>
    </xf>
    <xf numFmtId="0" fontId="10" fillId="0" borderId="19" xfId="0" applyFont="1" applyFill="1" applyBorder="1" applyAlignment="1" applyProtection="1">
      <alignment horizontal="center"/>
      <protection locked="0"/>
    </xf>
    <xf numFmtId="0" fontId="10" fillId="24" borderId="19" xfId="0" applyFont="1" applyFill="1" applyBorder="1" applyAlignment="1">
      <alignment horizontal="center" vertical="center"/>
    </xf>
    <xf numFmtId="49" fontId="10" fillId="0" borderId="32" xfId="0" applyNumberFormat="1" applyFont="1" applyFill="1" applyBorder="1" applyAlignment="1">
      <alignment horizontal="center"/>
    </xf>
    <xf numFmtId="0" fontId="10" fillId="0" borderId="32" xfId="0" applyFont="1" applyFill="1" applyBorder="1" applyAlignment="1" applyProtection="1">
      <alignment horizontal="left"/>
      <protection locked="0"/>
    </xf>
    <xf numFmtId="167" fontId="10" fillId="0" borderId="32" xfId="0" applyNumberFormat="1" applyFont="1" applyFill="1" applyBorder="1" applyAlignment="1" applyProtection="1">
      <alignment horizontal="left"/>
      <protection locked="0"/>
    </xf>
    <xf numFmtId="0" fontId="10" fillId="0" borderId="19" xfId="0" applyFont="1" applyFill="1" applyBorder="1" applyAlignment="1" applyProtection="1">
      <alignment horizontal="left"/>
      <protection locked="0"/>
    </xf>
    <xf numFmtId="0" fontId="10" fillId="0" borderId="10" xfId="0" applyFont="1" applyFill="1" applyBorder="1" applyAlignment="1" applyProtection="1">
      <alignment horizontal="left"/>
      <protection locked="0"/>
    </xf>
    <xf numFmtId="165" fontId="10" fillId="0" borderId="9" xfId="0" applyNumberFormat="1" applyFont="1" applyFill="1" applyBorder="1" applyAlignment="1" applyProtection="1">
      <alignment horizontal="center"/>
      <protection locked="0"/>
    </xf>
    <xf numFmtId="165" fontId="10" fillId="0" borderId="18" xfId="0" applyNumberFormat="1" applyFont="1" applyFill="1" applyBorder="1" applyAlignment="1" applyProtection="1">
      <alignment horizontal="center"/>
      <protection locked="0"/>
    </xf>
    <xf numFmtId="165" fontId="10" fillId="0" borderId="0" xfId="0" applyNumberFormat="1" applyFont="1" applyFill="1" applyBorder="1" applyAlignment="1" applyProtection="1">
      <alignment horizontal="center"/>
      <protection locked="0"/>
    </xf>
    <xf numFmtId="165" fontId="10" fillId="0" borderId="10" xfId="0" applyNumberFormat="1" applyFont="1" applyFill="1" applyBorder="1" applyAlignment="1" applyProtection="1">
      <alignment horizontal="center"/>
      <protection locked="0"/>
    </xf>
    <xf numFmtId="49" fontId="10" fillId="0" borderId="9" xfId="0" applyNumberFormat="1" applyFont="1" applyFill="1" applyBorder="1" applyAlignment="1" applyProtection="1">
      <alignment horizontal="left"/>
      <protection locked="0"/>
    </xf>
    <xf numFmtId="49" fontId="10" fillId="0" borderId="32" xfId="0" applyNumberFormat="1" applyFont="1" applyFill="1" applyBorder="1" applyAlignment="1" applyProtection="1">
      <alignment horizontal="center"/>
      <protection locked="0"/>
    </xf>
    <xf numFmtId="0" fontId="10" fillId="0" borderId="32" xfId="0" applyFont="1" applyFill="1" applyBorder="1" applyAlignment="1" applyProtection="1">
      <alignment horizontal="center" vertical="center"/>
      <protection locked="0"/>
    </xf>
    <xf numFmtId="0" fontId="10" fillId="0" borderId="1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0" fontId="10" fillId="0" borderId="32" xfId="0" applyFont="1" applyFill="1" applyBorder="1" applyAlignment="1" applyProtection="1">
      <alignment horizontal="left" vertical="center"/>
      <protection locked="0"/>
    </xf>
    <xf numFmtId="49" fontId="10" fillId="0" borderId="18" xfId="0" applyNumberFormat="1" applyFont="1" applyFill="1" applyBorder="1" applyAlignment="1" applyProtection="1">
      <alignment horizontal="center" vertical="center"/>
      <protection locked="0"/>
    </xf>
    <xf numFmtId="0" fontId="10" fillId="0" borderId="19" xfId="0" applyFont="1" applyFill="1" applyBorder="1" applyAlignment="1" applyProtection="1">
      <alignment horizontal="left" vertical="center"/>
      <protection locked="0"/>
    </xf>
    <xf numFmtId="0" fontId="10" fillId="0" borderId="9" xfId="0" applyFont="1" applyFill="1" applyBorder="1" applyAlignment="1" applyProtection="1">
      <alignment horizontal="left"/>
      <protection locked="0"/>
    </xf>
    <xf numFmtId="165" fontId="10" fillId="0" borderId="10" xfId="0" applyNumberFormat="1" applyFont="1" applyFill="1" applyBorder="1" applyAlignment="1" applyProtection="1">
      <alignment horizontal="left"/>
      <protection locked="0"/>
    </xf>
    <xf numFmtId="0" fontId="10" fillId="0" borderId="0" xfId="0" applyFont="1"/>
    <xf numFmtId="0" fontId="2" fillId="21" borderId="8" xfId="0" applyFont="1" applyFill="1" applyBorder="1" applyAlignment="1">
      <alignment horizontal="center"/>
    </xf>
    <xf numFmtId="0" fontId="2" fillId="24" borderId="10" xfId="0" applyFont="1" applyFill="1" applyBorder="1" applyAlignment="1">
      <alignment horizontal="center" vertical="center"/>
    </xf>
    <xf numFmtId="0" fontId="2" fillId="24" borderId="9" xfId="0" applyFont="1" applyFill="1" applyBorder="1" applyAlignment="1">
      <alignment horizontal="center" vertical="center"/>
    </xf>
    <xf numFmtId="0" fontId="2" fillId="24" borderId="32" xfId="0" applyFont="1" applyFill="1" applyBorder="1" applyAlignment="1">
      <alignment horizontal="center" vertical="center"/>
    </xf>
    <xf numFmtId="0" fontId="2" fillId="0" borderId="32" xfId="0" applyFont="1" applyFill="1" applyBorder="1" applyAlignment="1" applyProtection="1">
      <alignment horizontal="center"/>
      <protection locked="0"/>
    </xf>
    <xf numFmtId="0" fontId="2" fillId="0" borderId="19" xfId="0" applyFont="1" applyFill="1" applyBorder="1" applyAlignment="1" applyProtection="1">
      <alignment horizontal="center"/>
      <protection locked="0"/>
    </xf>
    <xf numFmtId="0" fontId="2" fillId="24" borderId="19" xfId="0" applyFont="1" applyFill="1" applyBorder="1" applyAlignment="1">
      <alignment horizontal="center" vertical="center"/>
    </xf>
    <xf numFmtId="49" fontId="2" fillId="0" borderId="32" xfId="0" applyNumberFormat="1" applyFont="1" applyFill="1" applyBorder="1" applyAlignment="1">
      <alignment horizontal="center"/>
    </xf>
    <xf numFmtId="167" fontId="2" fillId="0" borderId="32" xfId="0" applyNumberFormat="1" applyFont="1" applyFill="1" applyBorder="1" applyAlignment="1" applyProtection="1">
      <alignment horizontal="left"/>
      <protection locked="0"/>
    </xf>
    <xf numFmtId="0" fontId="2" fillId="0" borderId="19" xfId="0" applyFont="1" applyFill="1" applyBorder="1" applyAlignment="1" applyProtection="1">
      <alignment horizontal="left"/>
      <protection locked="0"/>
    </xf>
    <xf numFmtId="0" fontId="2" fillId="0" borderId="10" xfId="0" applyFont="1" applyFill="1" applyBorder="1" applyAlignment="1" applyProtection="1">
      <alignment horizontal="left"/>
      <protection locked="0"/>
    </xf>
    <xf numFmtId="165" fontId="2" fillId="0" borderId="9" xfId="0" applyNumberFormat="1" applyFont="1" applyFill="1" applyBorder="1" applyAlignment="1" applyProtection="1">
      <alignment horizontal="center"/>
      <protection locked="0"/>
    </xf>
    <xf numFmtId="165" fontId="2" fillId="0" borderId="18"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protection locked="0"/>
    </xf>
    <xf numFmtId="165" fontId="2" fillId="0" borderId="10" xfId="0" applyNumberFormat="1" applyFont="1" applyFill="1" applyBorder="1" applyAlignment="1" applyProtection="1">
      <alignment horizontal="center"/>
      <protection locked="0"/>
    </xf>
    <xf numFmtId="49" fontId="2" fillId="0" borderId="9" xfId="0" applyNumberFormat="1" applyFont="1" applyFill="1" applyBorder="1" applyAlignment="1" applyProtection="1">
      <alignment horizontal="left"/>
      <protection locked="0"/>
    </xf>
    <xf numFmtId="0" fontId="2" fillId="0" borderId="32" xfId="0" applyFont="1" applyFill="1" applyBorder="1" applyAlignment="1" applyProtection="1">
      <alignment horizontal="center" vertical="center"/>
      <protection locked="0"/>
    </xf>
    <xf numFmtId="0" fontId="2" fillId="0" borderId="1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49" fontId="2" fillId="0" borderId="18" xfId="0" applyNumberFormat="1" applyFont="1" applyFill="1" applyBorder="1" applyAlignment="1" applyProtection="1">
      <alignment horizontal="center" vertical="center"/>
      <protection locked="0"/>
    </xf>
    <xf numFmtId="0" fontId="2" fillId="0" borderId="19" xfId="0" applyFont="1" applyFill="1" applyBorder="1" applyAlignment="1" applyProtection="1">
      <alignment horizontal="left" vertical="center"/>
      <protection locked="0"/>
    </xf>
    <xf numFmtId="165" fontId="2" fillId="0" borderId="10" xfId="0" applyNumberFormat="1" applyFont="1" applyFill="1" applyBorder="1" applyAlignment="1" applyProtection="1">
      <alignment horizontal="left"/>
      <protection locked="0"/>
    </xf>
    <xf numFmtId="0" fontId="2" fillId="0" borderId="0" xfId="0" applyFont="1"/>
    <xf numFmtId="14" fontId="10" fillId="0" borderId="32" xfId="0" applyNumberFormat="1" applyFont="1" applyFill="1" applyBorder="1" applyAlignment="1" applyProtection="1">
      <alignment horizontal="left" vertical="center"/>
      <protection locked="0"/>
    </xf>
    <xf numFmtId="49" fontId="10" fillId="0" borderId="18" xfId="0" applyNumberFormat="1" applyFont="1" applyFill="1" applyBorder="1" applyAlignment="1" applyProtection="1">
      <alignment horizontal="center"/>
      <protection locked="0"/>
    </xf>
    <xf numFmtId="0" fontId="10" fillId="0" borderId="18" xfId="0" applyFont="1" applyFill="1" applyBorder="1" applyAlignment="1" applyProtection="1">
      <alignment horizontal="left"/>
      <protection locked="0"/>
    </xf>
    <xf numFmtId="49" fontId="2" fillId="0" borderId="32" xfId="0" applyNumberFormat="1" applyFont="1" applyFill="1" applyBorder="1" applyAlignment="1" applyProtection="1">
      <alignment horizontal="center"/>
      <protection locked="0"/>
    </xf>
    <xf numFmtId="49" fontId="10" fillId="0" borderId="8" xfId="0" applyNumberFormat="1" applyFont="1" applyFill="1" applyBorder="1" applyAlignment="1" applyProtection="1">
      <alignment horizontal="center"/>
      <protection locked="0"/>
    </xf>
    <xf numFmtId="0" fontId="27" fillId="5" borderId="48" xfId="0" applyFont="1" applyFill="1" applyBorder="1" applyAlignment="1">
      <alignment vertical="center"/>
    </xf>
    <xf numFmtId="0" fontId="28" fillId="0" borderId="32" xfId="0" applyFont="1" applyFill="1" applyBorder="1" applyAlignment="1" applyProtection="1">
      <alignment horizontal="center"/>
      <protection locked="0"/>
    </xf>
    <xf numFmtId="0" fontId="28" fillId="0" borderId="32" xfId="0" applyFont="1" applyFill="1" applyBorder="1" applyAlignment="1" applyProtection="1">
      <alignment horizontal="left"/>
      <protection locked="0"/>
    </xf>
    <xf numFmtId="0" fontId="28" fillId="24" borderId="8" xfId="0" applyFont="1" applyFill="1" applyBorder="1" applyAlignment="1">
      <alignment horizontal="center" vertical="center"/>
    </xf>
    <xf numFmtId="0" fontId="28" fillId="24" borderId="10" xfId="0" applyFont="1" applyFill="1" applyBorder="1" applyAlignment="1">
      <alignment horizontal="center" vertical="center"/>
    </xf>
    <xf numFmtId="0" fontId="28" fillId="24" borderId="9" xfId="0" applyFont="1" applyFill="1" applyBorder="1" applyAlignment="1">
      <alignment horizontal="center" vertical="center"/>
    </xf>
    <xf numFmtId="0" fontId="28" fillId="24" borderId="32" xfId="0" applyFont="1" applyFill="1" applyBorder="1" applyAlignment="1">
      <alignment horizontal="center" vertical="center"/>
    </xf>
    <xf numFmtId="0" fontId="28" fillId="0" borderId="19" xfId="0" applyFont="1" applyFill="1" applyBorder="1" applyAlignment="1" applyProtection="1">
      <alignment horizontal="center"/>
      <protection locked="0"/>
    </xf>
    <xf numFmtId="0" fontId="28" fillId="24" borderId="19" xfId="0" applyFont="1" applyFill="1" applyBorder="1" applyAlignment="1">
      <alignment horizontal="center" vertical="center"/>
    </xf>
    <xf numFmtId="49" fontId="28" fillId="0" borderId="32" xfId="0" applyNumberFormat="1" applyFont="1" applyFill="1" applyBorder="1" applyAlignment="1">
      <alignment horizontal="center"/>
    </xf>
    <xf numFmtId="167" fontId="28" fillId="0" borderId="32" xfId="0" applyNumberFormat="1" applyFont="1" applyFill="1" applyBorder="1" applyAlignment="1" applyProtection="1">
      <alignment horizontal="left"/>
      <protection locked="0"/>
    </xf>
    <xf numFmtId="0" fontId="28" fillId="0" borderId="19" xfId="0" applyFont="1" applyFill="1" applyBorder="1" applyAlignment="1" applyProtection="1">
      <alignment horizontal="left"/>
      <protection locked="0"/>
    </xf>
    <xf numFmtId="0" fontId="28" fillId="0" borderId="10" xfId="0" applyFont="1" applyFill="1" applyBorder="1" applyAlignment="1" applyProtection="1">
      <alignment horizontal="left"/>
      <protection locked="0"/>
    </xf>
    <xf numFmtId="165" fontId="28" fillId="0" borderId="9" xfId="0" applyNumberFormat="1" applyFont="1" applyFill="1" applyBorder="1" applyAlignment="1" applyProtection="1">
      <alignment horizontal="center"/>
      <protection locked="0"/>
    </xf>
    <xf numFmtId="165" fontId="28" fillId="0" borderId="18" xfId="0" applyNumberFormat="1" applyFont="1" applyFill="1" applyBorder="1" applyAlignment="1" applyProtection="1">
      <alignment horizontal="center"/>
      <protection locked="0"/>
    </xf>
    <xf numFmtId="165" fontId="28" fillId="0" borderId="0" xfId="0" applyNumberFormat="1" applyFont="1" applyFill="1" applyBorder="1" applyAlignment="1" applyProtection="1">
      <alignment horizontal="center"/>
      <protection locked="0"/>
    </xf>
    <xf numFmtId="165" fontId="28" fillId="0" borderId="10" xfId="0" applyNumberFormat="1" applyFont="1" applyFill="1" applyBorder="1" applyAlignment="1" applyProtection="1">
      <alignment horizontal="center"/>
      <protection locked="0"/>
    </xf>
    <xf numFmtId="49" fontId="28" fillId="0" borderId="9" xfId="0" applyNumberFormat="1" applyFont="1" applyFill="1" applyBorder="1" applyAlignment="1" applyProtection="1">
      <alignment horizontal="left"/>
      <protection locked="0"/>
    </xf>
    <xf numFmtId="49" fontId="28" fillId="0" borderId="32" xfId="0" applyNumberFormat="1" applyFont="1" applyFill="1" applyBorder="1" applyAlignment="1" applyProtection="1">
      <alignment horizontal="center"/>
      <protection locked="0"/>
    </xf>
    <xf numFmtId="0" fontId="28" fillId="21" borderId="8" xfId="0" applyFont="1" applyFill="1" applyBorder="1" applyAlignment="1">
      <alignment horizontal="center"/>
    </xf>
    <xf numFmtId="0" fontId="28" fillId="0" borderId="10"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protection locked="0"/>
    </xf>
    <xf numFmtId="0" fontId="28" fillId="0" borderId="32" xfId="0" applyFont="1" applyFill="1" applyBorder="1" applyAlignment="1" applyProtection="1">
      <alignment horizontal="left" vertical="center"/>
      <protection locked="0"/>
    </xf>
    <xf numFmtId="49" fontId="28" fillId="0" borderId="18" xfId="0" applyNumberFormat="1" applyFont="1" applyFill="1" applyBorder="1" applyAlignment="1" applyProtection="1">
      <alignment horizontal="center"/>
      <protection locked="0"/>
    </xf>
    <xf numFmtId="0" fontId="28" fillId="0" borderId="19" xfId="0" applyFont="1" applyFill="1" applyBorder="1" applyAlignment="1" applyProtection="1">
      <alignment horizontal="left" vertical="center"/>
      <protection locked="0"/>
    </xf>
    <xf numFmtId="0" fontId="28" fillId="0" borderId="9" xfId="0" applyFont="1" applyFill="1" applyBorder="1" applyAlignment="1" applyProtection="1">
      <alignment horizontal="left"/>
      <protection locked="0"/>
    </xf>
    <xf numFmtId="0" fontId="28" fillId="0" borderId="0" xfId="0" applyFont="1"/>
    <xf numFmtId="0" fontId="28" fillId="22" borderId="32" xfId="0" applyFont="1" applyFill="1" applyBorder="1" applyAlignment="1">
      <alignment horizontal="center" vertical="center"/>
    </xf>
    <xf numFmtId="0" fontId="28" fillId="12" borderId="32" xfId="0" applyFont="1" applyFill="1" applyBorder="1" applyAlignment="1">
      <alignment horizontal="left"/>
    </xf>
    <xf numFmtId="14" fontId="3" fillId="23" borderId="4" xfId="0" applyNumberFormat="1" applyFont="1" applyFill="1" applyBorder="1" applyAlignment="1">
      <alignment horizontal="left" vertical="center"/>
    </xf>
    <xf numFmtId="164" fontId="2" fillId="23" borderId="8" xfId="0" applyNumberFormat="1" applyFont="1" applyFill="1" applyBorder="1" applyAlignment="1">
      <alignment horizontal="left"/>
    </xf>
    <xf numFmtId="164" fontId="2" fillId="23" borderId="27" xfId="0" applyNumberFormat="1" applyFont="1" applyFill="1" applyBorder="1" applyAlignment="1">
      <alignment horizontal="left"/>
    </xf>
    <xf numFmtId="0" fontId="1" fillId="21" borderId="1" xfId="0" applyFont="1" applyFill="1" applyBorder="1" applyAlignment="1" applyProtection="1">
      <alignment horizontal="left"/>
      <protection locked="0"/>
    </xf>
    <xf numFmtId="0" fontId="2" fillId="0" borderId="8" xfId="0" applyFont="1" applyFill="1" applyBorder="1" applyAlignment="1" applyProtection="1">
      <alignment horizontal="left"/>
      <protection locked="0"/>
    </xf>
    <xf numFmtId="0" fontId="13" fillId="0" borderId="8" xfId="0" applyFont="1" applyFill="1" applyBorder="1" applyAlignment="1" applyProtection="1">
      <alignment horizontal="left"/>
      <protection locked="0"/>
    </xf>
    <xf numFmtId="0" fontId="1" fillId="21" borderId="89" xfId="0" applyFont="1" applyFill="1" applyBorder="1" applyAlignment="1" applyProtection="1">
      <alignment horizontal="left"/>
      <protection locked="0"/>
    </xf>
    <xf numFmtId="0" fontId="13" fillId="0" borderId="100" xfId="0" applyFont="1" applyFill="1" applyBorder="1" applyAlignment="1" applyProtection="1">
      <alignment horizontal="left"/>
      <protection locked="0"/>
    </xf>
    <xf numFmtId="0" fontId="1" fillId="21" borderId="8" xfId="0" applyFont="1" applyFill="1" applyBorder="1" applyAlignment="1" applyProtection="1">
      <alignment horizontal="left"/>
      <protection locked="0"/>
    </xf>
    <xf numFmtId="0" fontId="2" fillId="0" borderId="8" xfId="0" quotePrefix="1" applyFont="1" applyFill="1" applyBorder="1" applyAlignment="1" applyProtection="1">
      <alignment horizontal="left"/>
      <protection locked="0"/>
    </xf>
    <xf numFmtId="0" fontId="28" fillId="0" borderId="8"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13" fillId="0" borderId="111" xfId="0" applyFont="1" applyFill="1" applyBorder="1" applyAlignment="1" applyProtection="1">
      <alignment horizontal="left"/>
      <protection locked="0"/>
    </xf>
    <xf numFmtId="0" fontId="1" fillId="21" borderId="95" xfId="0" applyFont="1" applyFill="1" applyBorder="1" applyAlignment="1" applyProtection="1">
      <alignment horizontal="left"/>
      <protection locked="0"/>
    </xf>
    <xf numFmtId="0" fontId="10" fillId="0" borderId="8" xfId="0" applyFont="1" applyFill="1" applyBorder="1" applyAlignment="1" applyProtection="1">
      <alignment horizontal="left"/>
      <protection locked="0"/>
    </xf>
    <xf numFmtId="0" fontId="3" fillId="0" borderId="8" xfId="0" applyFont="1" applyFill="1" applyBorder="1" applyAlignment="1" applyProtection="1">
      <alignment horizontal="left"/>
      <protection locked="0"/>
    </xf>
    <xf numFmtId="0" fontId="3" fillId="0" borderId="100" xfId="0" applyFont="1" applyFill="1" applyBorder="1" applyAlignment="1" applyProtection="1">
      <alignment horizontal="left"/>
      <protection locked="0"/>
    </xf>
    <xf numFmtId="0" fontId="13" fillId="21" borderId="8" xfId="0" applyFont="1" applyFill="1" applyBorder="1" applyAlignment="1" applyProtection="1">
      <alignment horizontal="left"/>
      <protection locked="0"/>
    </xf>
    <xf numFmtId="0" fontId="3" fillId="0" borderId="24" xfId="0" applyFont="1" applyFill="1" applyBorder="1" applyAlignment="1" applyProtection="1">
      <alignment horizontal="left"/>
      <protection locked="0"/>
    </xf>
    <xf numFmtId="14" fontId="3" fillId="23" borderId="85" xfId="0" applyNumberFormat="1" applyFont="1" applyFill="1" applyBorder="1" applyAlignment="1">
      <alignment horizontal="left" vertical="center"/>
    </xf>
    <xf numFmtId="0" fontId="3" fillId="21" borderId="110" xfId="0" applyFont="1" applyFill="1" applyBorder="1" applyAlignment="1">
      <alignment horizontal="center" textRotation="90" wrapText="1"/>
    </xf>
    <xf numFmtId="0" fontId="1" fillId="0" borderId="8" xfId="0" applyFont="1" applyFill="1" applyBorder="1" applyAlignment="1" applyProtection="1">
      <alignment horizontal="left"/>
      <protection locked="0"/>
    </xf>
    <xf numFmtId="0" fontId="13" fillId="0" borderId="112" xfId="0" applyFont="1" applyFill="1" applyBorder="1" applyAlignment="1" applyProtection="1">
      <alignment horizontal="left"/>
      <protection locked="0"/>
    </xf>
    <xf numFmtId="0" fontId="3" fillId="21" borderId="34" xfId="0" applyFont="1" applyFill="1" applyBorder="1" applyAlignment="1">
      <alignment horizontal="center" textRotation="90"/>
    </xf>
    <xf numFmtId="14" fontId="3" fillId="23" borderId="113" xfId="0" applyNumberFormat="1" applyFont="1" applyFill="1" applyBorder="1" applyAlignment="1">
      <alignment horizontal="left" vertical="center"/>
    </xf>
    <xf numFmtId="164" fontId="2" fillId="23" borderId="18" xfId="0" applyNumberFormat="1" applyFont="1" applyFill="1" applyBorder="1" applyAlignment="1">
      <alignment horizontal="left"/>
    </xf>
    <xf numFmtId="164" fontId="2" fillId="23" borderId="107" xfId="0" applyNumberFormat="1" applyFont="1" applyFill="1" applyBorder="1" applyAlignment="1">
      <alignment horizontal="left"/>
    </xf>
    <xf numFmtId="0" fontId="1" fillId="21" borderId="22" xfId="0" applyFont="1" applyFill="1" applyBorder="1" applyAlignment="1" applyProtection="1">
      <alignment horizontal="left"/>
      <protection locked="0"/>
    </xf>
    <xf numFmtId="0" fontId="13" fillId="0" borderId="37" xfId="0" applyFont="1" applyFill="1" applyBorder="1" applyAlignment="1" applyProtection="1">
      <alignment horizontal="left"/>
      <protection locked="0"/>
    </xf>
    <xf numFmtId="0" fontId="1" fillId="21" borderId="18" xfId="0" applyFont="1" applyFill="1" applyBorder="1" applyAlignment="1" applyProtection="1">
      <alignment horizontal="left"/>
      <protection locked="0"/>
    </xf>
    <xf numFmtId="0" fontId="2" fillId="0" borderId="18" xfId="0" quotePrefix="1" applyFont="1" applyFill="1" applyBorder="1" applyAlignment="1" applyProtection="1">
      <alignment horizontal="left"/>
      <protection locked="0"/>
    </xf>
    <xf numFmtId="0" fontId="3" fillId="0" borderId="37" xfId="0" applyFont="1" applyFill="1" applyBorder="1" applyAlignment="1" applyProtection="1">
      <alignment horizontal="left"/>
      <protection locked="0"/>
    </xf>
    <xf numFmtId="0" fontId="13" fillId="21" borderId="18" xfId="0" applyFont="1" applyFill="1" applyBorder="1" applyAlignment="1" applyProtection="1">
      <alignment horizontal="left"/>
      <protection locked="0"/>
    </xf>
    <xf numFmtId="0" fontId="3" fillId="0" borderId="59" xfId="0" applyFont="1" applyFill="1" applyBorder="1" applyAlignment="1" applyProtection="1">
      <alignment horizontal="left"/>
      <protection locked="0"/>
    </xf>
    <xf numFmtId="0" fontId="10" fillId="0" borderId="18" xfId="0" quotePrefix="1" applyFont="1" applyFill="1" applyBorder="1" applyAlignment="1" applyProtection="1">
      <alignment horizontal="left"/>
      <protection locked="0"/>
    </xf>
    <xf numFmtId="0" fontId="31" fillId="4" borderId="65" xfId="0" applyFont="1" applyFill="1" applyBorder="1" applyAlignment="1">
      <alignment horizontal="left" vertical="center"/>
    </xf>
    <xf numFmtId="0" fontId="8" fillId="5" borderId="46"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2" fillId="4" borderId="79" xfId="0" quotePrefix="1" applyFont="1" applyFill="1" applyBorder="1" applyAlignment="1">
      <alignment horizontal="left" vertical="center" wrapText="1"/>
    </xf>
    <xf numFmtId="0" fontId="2" fillId="4" borderId="50" xfId="0" quotePrefix="1" applyFont="1" applyFill="1" applyBorder="1" applyAlignment="1">
      <alignment horizontal="left" vertical="center" wrapText="1"/>
    </xf>
    <xf numFmtId="0" fontId="2" fillId="18" borderId="65" xfId="0" quotePrefix="1" applyFont="1" applyFill="1" applyBorder="1" applyAlignment="1">
      <alignment horizontal="left" vertical="center" wrapText="1"/>
    </xf>
    <xf numFmtId="0" fontId="2" fillId="18" borderId="0" xfId="0" quotePrefix="1" applyFont="1" applyFill="1" applyBorder="1" applyAlignment="1">
      <alignment horizontal="left" vertical="center" wrapText="1"/>
    </xf>
    <xf numFmtId="0" fontId="2" fillId="18" borderId="43" xfId="0" quotePrefix="1" applyFont="1" applyFill="1" applyBorder="1" applyAlignment="1">
      <alignment horizontal="left" vertical="center" wrapText="1"/>
    </xf>
    <xf numFmtId="0" fontId="3" fillId="4" borderId="49" xfId="0" quotePrefix="1" applyFont="1" applyFill="1" applyBorder="1" applyAlignment="1">
      <alignment horizontal="left" vertical="center" wrapText="1"/>
    </xf>
    <xf numFmtId="0" fontId="3" fillId="4" borderId="50" xfId="0" quotePrefix="1" applyFont="1" applyFill="1" applyBorder="1" applyAlignment="1">
      <alignment horizontal="left" vertical="center" wrapText="1"/>
    </xf>
    <xf numFmtId="0" fontId="3" fillId="18" borderId="42" xfId="0" quotePrefix="1" applyFont="1" applyFill="1" applyBorder="1" applyAlignment="1">
      <alignment horizontal="left" vertical="center" wrapText="1"/>
    </xf>
    <xf numFmtId="0" fontId="3" fillId="18" borderId="0" xfId="0" quotePrefix="1" applyFont="1" applyFill="1" applyBorder="1" applyAlignment="1">
      <alignment horizontal="left" vertical="center" wrapText="1"/>
    </xf>
    <xf numFmtId="0" fontId="3" fillId="4" borderId="42" xfId="0" quotePrefix="1" applyFont="1" applyFill="1" applyBorder="1" applyAlignment="1">
      <alignment horizontal="left" vertical="center" wrapText="1"/>
    </xf>
    <xf numFmtId="0" fontId="3" fillId="4" borderId="0" xfId="0" quotePrefix="1" applyFont="1" applyFill="1" applyBorder="1" applyAlignment="1">
      <alignment horizontal="left" vertical="center" wrapText="1"/>
    </xf>
    <xf numFmtId="0" fontId="2" fillId="4" borderId="65" xfId="0" quotePrefix="1" applyFont="1" applyFill="1" applyBorder="1" applyAlignment="1">
      <alignment horizontal="left" vertical="center" wrapText="1"/>
    </xf>
    <xf numFmtId="0" fontId="2" fillId="4" borderId="0" xfId="0" quotePrefix="1" applyFont="1" applyFill="1" applyBorder="1" applyAlignment="1">
      <alignment horizontal="left" vertical="center" wrapText="1"/>
    </xf>
    <xf numFmtId="0" fontId="2" fillId="4" borderId="43" xfId="0" quotePrefix="1" applyFont="1" applyFill="1" applyBorder="1" applyAlignment="1">
      <alignment horizontal="left" vertical="center" wrapText="1"/>
    </xf>
    <xf numFmtId="0" fontId="25" fillId="18" borderId="75" xfId="0" applyFont="1" applyFill="1" applyBorder="1" applyAlignment="1">
      <alignment horizontal="center" vertical="center" wrapText="1"/>
    </xf>
    <xf numFmtId="0" fontId="25" fillId="18" borderId="76" xfId="0" applyFont="1" applyFill="1" applyBorder="1" applyAlignment="1">
      <alignment horizontal="center" vertical="center" wrapText="1"/>
    </xf>
    <xf numFmtId="0" fontId="25" fillId="18" borderId="77" xfId="0" applyFont="1" applyFill="1" applyBorder="1" applyAlignment="1">
      <alignment horizontal="center" vertical="center" wrapText="1"/>
    </xf>
    <xf numFmtId="0" fontId="2" fillId="2" borderId="79" xfId="0" applyNumberFormat="1" applyFont="1" applyFill="1" applyBorder="1" applyAlignment="1" applyProtection="1">
      <alignment horizontal="left" vertical="center"/>
      <protection locked="0"/>
    </xf>
    <xf numFmtId="0" fontId="2" fillId="2" borderId="50" xfId="0" applyNumberFormat="1" applyFont="1" applyFill="1" applyBorder="1" applyAlignment="1" applyProtection="1">
      <alignment horizontal="left" vertical="center"/>
      <protection locked="0"/>
    </xf>
    <xf numFmtId="0" fontId="24" fillId="18" borderId="65" xfId="0" applyFont="1" applyFill="1" applyBorder="1" applyAlignment="1">
      <alignment horizontal="left" vertical="center" wrapText="1"/>
    </xf>
    <xf numFmtId="0" fontId="24" fillId="18" borderId="0" xfId="0" applyFont="1" applyFill="1" applyBorder="1" applyAlignment="1">
      <alignment horizontal="left" vertical="center" wrapText="1"/>
    </xf>
    <xf numFmtId="0" fontId="24" fillId="18" borderId="43" xfId="0" applyFont="1" applyFill="1" applyBorder="1" applyAlignment="1">
      <alignment horizontal="left" vertical="center" wrapText="1"/>
    </xf>
    <xf numFmtId="0" fontId="29" fillId="18" borderId="115" xfId="0" applyFont="1" applyFill="1" applyBorder="1" applyAlignment="1">
      <alignment horizontal="center" wrapText="1"/>
    </xf>
    <xf numFmtId="0" fontId="29" fillId="18" borderId="76" xfId="0" applyFont="1" applyFill="1" applyBorder="1" applyAlignment="1">
      <alignment horizontal="center" wrapText="1"/>
    </xf>
    <xf numFmtId="0" fontId="29" fillId="18" borderId="114" xfId="0" applyFont="1" applyFill="1" applyBorder="1" applyAlignment="1">
      <alignment horizontal="center" wrapText="1"/>
    </xf>
    <xf numFmtId="0" fontId="10" fillId="4" borderId="79" xfId="0" applyFont="1" applyFill="1" applyBorder="1" applyAlignment="1">
      <alignment horizontal="left" vertical="center"/>
    </xf>
    <xf numFmtId="0" fontId="10" fillId="4" borderId="50" xfId="0" applyFont="1" applyFill="1" applyBorder="1" applyAlignment="1">
      <alignment horizontal="left" vertical="center"/>
    </xf>
    <xf numFmtId="0" fontId="10" fillId="4" borderId="51" xfId="0" applyFont="1" applyFill="1" applyBorder="1" applyAlignment="1">
      <alignment horizontal="left" vertical="center"/>
    </xf>
    <xf numFmtId="0" fontId="24" fillId="18" borderId="79" xfId="0" applyFont="1" applyFill="1" applyBorder="1" applyAlignment="1">
      <alignment horizontal="left" vertical="center" wrapText="1"/>
    </xf>
    <xf numFmtId="0" fontId="24" fillId="18" borderId="50" xfId="0" applyFont="1" applyFill="1" applyBorder="1" applyAlignment="1">
      <alignment horizontal="left" vertical="center" wrapText="1"/>
    </xf>
    <xf numFmtId="0" fontId="24" fillId="18" borderId="51" xfId="0" applyFont="1" applyFill="1" applyBorder="1" applyAlignment="1">
      <alignment horizontal="left" vertical="center" wrapText="1"/>
    </xf>
    <xf numFmtId="0" fontId="25" fillId="18" borderId="78" xfId="0" applyFont="1" applyFill="1" applyBorder="1" applyAlignment="1">
      <alignment horizontal="center" vertical="center" wrapText="1"/>
    </xf>
    <xf numFmtId="0" fontId="26" fillId="5" borderId="86" xfId="0" applyFont="1" applyFill="1" applyBorder="1" applyAlignment="1">
      <alignment horizontal="left" vertical="center"/>
    </xf>
    <xf numFmtId="0" fontId="26" fillId="5" borderId="47" xfId="0" applyFont="1" applyFill="1" applyBorder="1" applyAlignment="1">
      <alignment horizontal="left" vertical="center"/>
    </xf>
    <xf numFmtId="0" fontId="26" fillId="5" borderId="109" xfId="0" applyFont="1" applyFill="1" applyBorder="1" applyAlignment="1">
      <alignment horizontal="left" vertical="center"/>
    </xf>
    <xf numFmtId="0" fontId="3" fillId="4" borderId="70" xfId="0" applyFont="1" applyFill="1" applyBorder="1" applyAlignment="1">
      <alignment horizontal="left" vertical="top" wrapText="1"/>
    </xf>
    <xf numFmtId="0" fontId="3" fillId="4" borderId="69" xfId="0" applyFont="1" applyFill="1" applyBorder="1" applyAlignment="1">
      <alignment horizontal="left" vertical="top" wrapText="1"/>
    </xf>
    <xf numFmtId="0" fontId="3" fillId="4" borderId="71" xfId="0" applyFont="1" applyFill="1" applyBorder="1" applyAlignment="1">
      <alignment horizontal="left" vertical="top" wrapText="1"/>
    </xf>
    <xf numFmtId="0" fontId="3" fillId="18" borderId="70" xfId="0" applyFont="1" applyFill="1" applyBorder="1" applyAlignment="1">
      <alignment horizontal="left" vertical="top" wrapText="1"/>
    </xf>
    <xf numFmtId="0" fontId="3" fillId="18" borderId="69" xfId="0" applyFont="1" applyFill="1" applyBorder="1" applyAlignment="1">
      <alignment horizontal="left" vertical="top" wrapText="1"/>
    </xf>
    <xf numFmtId="0" fontId="3" fillId="18" borderId="71" xfId="0" applyFont="1" applyFill="1" applyBorder="1" applyAlignment="1">
      <alignment horizontal="left" vertical="top" wrapText="1"/>
    </xf>
    <xf numFmtId="0" fontId="14" fillId="5" borderId="86" xfId="0" applyFont="1" applyFill="1" applyBorder="1" applyAlignment="1">
      <alignment horizontal="left" vertical="center"/>
    </xf>
    <xf numFmtId="0" fontId="14" fillId="5" borderId="47" xfId="0" applyFont="1" applyFill="1" applyBorder="1" applyAlignment="1">
      <alignment horizontal="left" vertical="center"/>
    </xf>
    <xf numFmtId="0" fontId="3" fillId="18" borderId="44" xfId="0" quotePrefix="1" applyFont="1" applyFill="1" applyBorder="1" applyAlignment="1">
      <alignment horizontal="left" vertical="center" wrapText="1"/>
    </xf>
    <xf numFmtId="0" fontId="3" fillId="18" borderId="45" xfId="0" quotePrefix="1" applyFont="1" applyFill="1" applyBorder="1" applyAlignment="1">
      <alignment horizontal="left" vertical="center" wrapText="1"/>
    </xf>
    <xf numFmtId="0" fontId="3" fillId="18" borderId="108" xfId="0" quotePrefix="1" applyFont="1" applyFill="1" applyBorder="1" applyAlignment="1">
      <alignment horizontal="left" vertical="center" wrapText="1"/>
    </xf>
    <xf numFmtId="0" fontId="2" fillId="18" borderId="81" xfId="0" quotePrefix="1" applyFont="1" applyFill="1" applyBorder="1" applyAlignment="1">
      <alignment horizontal="left" vertical="center" wrapText="1"/>
    </xf>
    <xf numFmtId="0" fontId="2" fillId="18" borderId="45" xfId="0" quotePrefix="1" applyFont="1" applyFill="1" applyBorder="1" applyAlignment="1">
      <alignment horizontal="left" vertical="center" wrapText="1"/>
    </xf>
    <xf numFmtId="0" fontId="2" fillId="18" borderId="62" xfId="0" quotePrefix="1" applyFont="1" applyFill="1" applyBorder="1" applyAlignment="1">
      <alignment horizontal="left" vertical="center" wrapText="1"/>
    </xf>
    <xf numFmtId="0" fontId="2" fillId="2" borderId="33" xfId="0" applyNumberFormat="1" applyFont="1" applyFill="1" applyBorder="1" applyAlignment="1" applyProtection="1">
      <alignment horizontal="left" vertical="center"/>
      <protection locked="0"/>
    </xf>
    <xf numFmtId="0" fontId="2" fillId="2" borderId="17" xfId="0" applyNumberFormat="1" applyFont="1" applyFill="1" applyBorder="1" applyAlignment="1" applyProtection="1">
      <alignment horizontal="left" vertical="center"/>
      <protection locked="0"/>
    </xf>
    <xf numFmtId="0" fontId="2" fillId="2" borderId="34" xfId="0" applyNumberFormat="1" applyFont="1" applyFill="1" applyBorder="1" applyAlignment="1" applyProtection="1">
      <alignment horizontal="left" vertical="center"/>
      <protection locked="0"/>
    </xf>
    <xf numFmtId="0" fontId="4" fillId="22" borderId="14" xfId="0" applyFont="1" applyFill="1" applyBorder="1" applyAlignment="1" applyProtection="1">
      <alignment horizontal="left" vertical="center" wrapText="1"/>
    </xf>
    <xf numFmtId="0" fontId="4" fillId="22" borderId="12" xfId="0" applyFont="1" applyFill="1" applyBorder="1" applyAlignment="1" applyProtection="1">
      <alignment horizontal="left" vertical="center" wrapText="1"/>
    </xf>
    <xf numFmtId="0" fontId="4" fillId="22" borderId="12" xfId="0" applyFont="1" applyFill="1" applyBorder="1" applyAlignment="1" applyProtection="1">
      <alignment horizontal="center" vertical="center"/>
    </xf>
    <xf numFmtId="0" fontId="4" fillId="22" borderId="13" xfId="0" applyFont="1" applyFill="1" applyBorder="1" applyAlignment="1" applyProtection="1">
      <alignment horizontal="center" vertical="center"/>
    </xf>
    <xf numFmtId="0" fontId="4" fillId="22" borderId="13" xfId="0" applyFont="1" applyFill="1" applyBorder="1" applyAlignment="1" applyProtection="1">
      <alignment horizontal="left" vertical="center" wrapText="1"/>
    </xf>
    <xf numFmtId="0" fontId="3" fillId="21" borderId="2" xfId="0" applyFont="1" applyFill="1" applyBorder="1" applyAlignment="1">
      <alignment horizontal="center" textRotation="90"/>
    </xf>
    <xf numFmtId="0" fontId="3" fillId="21" borderId="9" xfId="0" applyFont="1" applyFill="1" applyBorder="1" applyAlignment="1">
      <alignment horizontal="center" textRotation="90"/>
    </xf>
    <xf numFmtId="0" fontId="3" fillId="21" borderId="29" xfId="0" applyFont="1" applyFill="1" applyBorder="1" applyAlignment="1">
      <alignment horizontal="center" textRotation="90"/>
    </xf>
    <xf numFmtId="0" fontId="3" fillId="21" borderId="3" xfId="0" applyFont="1" applyFill="1" applyBorder="1" applyAlignment="1">
      <alignment horizontal="center" textRotation="90"/>
    </xf>
    <xf numFmtId="0" fontId="3" fillId="21" borderId="10" xfId="0" applyFont="1" applyFill="1" applyBorder="1" applyAlignment="1">
      <alignment horizontal="center" textRotation="90"/>
    </xf>
    <xf numFmtId="0" fontId="3" fillId="21" borderId="30" xfId="0" applyFont="1" applyFill="1" applyBorder="1" applyAlignment="1">
      <alignment horizontal="center" textRotation="90"/>
    </xf>
    <xf numFmtId="0" fontId="4" fillId="21" borderId="4" xfId="0" applyFont="1" applyFill="1" applyBorder="1" applyAlignment="1">
      <alignment horizontal="center" vertical="center" wrapText="1"/>
    </xf>
    <xf numFmtId="0" fontId="4" fillId="21" borderId="6" xfId="0" applyFont="1" applyFill="1" applyBorder="1" applyAlignment="1">
      <alignment horizontal="center" vertical="center" wrapText="1"/>
    </xf>
    <xf numFmtId="0" fontId="4" fillId="21" borderId="5" xfId="0" applyFont="1" applyFill="1" applyBorder="1" applyAlignment="1">
      <alignment horizontal="center" vertical="center" wrapText="1"/>
    </xf>
    <xf numFmtId="0" fontId="4" fillId="21" borderId="4" xfId="0" applyFont="1" applyFill="1" applyBorder="1" applyAlignment="1">
      <alignment horizontal="center" vertical="center"/>
    </xf>
    <xf numFmtId="0" fontId="4" fillId="21" borderId="5" xfId="0" applyFont="1" applyFill="1" applyBorder="1" applyAlignment="1">
      <alignment horizontal="center" vertical="center"/>
    </xf>
    <xf numFmtId="0" fontId="4" fillId="21" borderId="6" xfId="0" applyFont="1" applyFill="1" applyBorder="1" applyAlignment="1">
      <alignment horizontal="center" vertical="center"/>
    </xf>
  </cellXfs>
  <cellStyles count="1">
    <cellStyle name="Standaard" xfId="0" builtinId="0"/>
  </cellStyles>
  <dxfs count="1">
    <dxf>
      <font>
        <color rgb="FFFF0000"/>
      </font>
      <fill>
        <patternFill patternType="solid">
          <bgColor rgb="FFCCECFF"/>
        </patternFill>
      </fill>
    </dxf>
  </dxfs>
  <tableStyles count="0" defaultTableStyle="TableStyleMedium2" defaultPivotStyle="PivotStyleLight16"/>
  <colors>
    <mruColors>
      <color rgb="FFF19713"/>
      <color rgb="FFCCECFF"/>
      <color rgb="FFFF9E0E"/>
      <color rgb="FFFF9933"/>
      <color rgb="FFCC00CC"/>
      <color rgb="FFFFFF99"/>
      <color rgb="FFFFFF66"/>
      <color rgb="FF66CCFF"/>
      <color rgb="FF0099FF"/>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Lines="10" dropStyle="combo" dx="14" fmlaLink="Data!$R$3" fmlaRange="Data!$R$5:$R$29" noThreeD="1" sel="2" val="0"/>
</file>

<file path=xl/ctrlProps/ctrlProp10.xml><?xml version="1.0" encoding="utf-8"?>
<formControlPr xmlns="http://schemas.microsoft.com/office/spreadsheetml/2009/9/main" objectType="Scroll" dx="16" fmlaLink="Data!$AH$3" horiz="1" max="61" page="4" val="0"/>
</file>

<file path=xl/ctrlProps/ctrlProp2.xml><?xml version="1.0" encoding="utf-8"?>
<formControlPr xmlns="http://schemas.microsoft.com/office/spreadsheetml/2009/9/main" objectType="Scroll" dx="16" fmlaLink="Data!$T$3" horiz="1" max="6700" min="2700" page="90" val="4500"/>
</file>

<file path=xl/ctrlProps/ctrlProp3.xml><?xml version="1.0" encoding="utf-8"?>
<formControlPr xmlns="http://schemas.microsoft.com/office/spreadsheetml/2009/9/main" objectType="Drop" dropLines="10" dropStyle="combo" dx="14" fmlaLink="Data!$AA$3" fmlaRange="Data!$AA$5:$AA$32" noThreeD="1" sel="1" val="0"/>
</file>

<file path=xl/ctrlProps/ctrlProp4.xml><?xml version="1.0" encoding="utf-8"?>
<formControlPr xmlns="http://schemas.microsoft.com/office/spreadsheetml/2009/9/main" objectType="Scroll" dx="16" fmlaLink="Data!$AE$3" horiz="1" max="50" page="10" val="0"/>
</file>

<file path=xl/ctrlProps/ctrlProp5.xml><?xml version="1.0" encoding="utf-8"?>
<formControlPr xmlns="http://schemas.microsoft.com/office/spreadsheetml/2009/9/main" objectType="Drop" dropLines="10" dropStyle="combo" dx="14" fmlaLink="Data!$AF$3" fmlaRange="Data!$AF$5:$AF$32" noThreeD="1" sel="20" val="15"/>
</file>

<file path=xl/ctrlProps/ctrlProp6.xml><?xml version="1.0" encoding="utf-8"?>
<formControlPr xmlns="http://schemas.microsoft.com/office/spreadsheetml/2009/9/main" objectType="Drop" dropLines="3" dropStyle="combo" dx="14" fmlaLink="Data!$X$3" fmlaRange="Data!$X$5:$X$7" noThreeD="1" sel="3" val="0"/>
</file>

<file path=xl/ctrlProps/ctrlProp7.xml><?xml version="1.0" encoding="utf-8"?>
<formControlPr xmlns="http://schemas.microsoft.com/office/spreadsheetml/2009/9/main" objectType="Drop" dropLines="2" dropStyle="combo" dx="14" fmlaLink="Data!$Y$3" fmlaRange="Data!$Y$5:$Y$6" noThreeD="1" sel="2" val="0"/>
</file>

<file path=xl/ctrlProps/ctrlProp8.xml><?xml version="1.0" encoding="utf-8"?>
<formControlPr xmlns="http://schemas.microsoft.com/office/spreadsheetml/2009/9/main" objectType="Drop" dropLines="10" dropStyle="combo" dx="14" fmlaLink="Data!$U$3" fmlaRange="Data!$U$5:$U$12" noThreeD="1" sel="2" val="0"/>
</file>

<file path=xl/ctrlProps/ctrlProp9.xml><?xml version="1.0" encoding="utf-8"?>
<formControlPr xmlns="http://schemas.microsoft.com/office/spreadsheetml/2009/9/main" objectType="Drop" dropLines="5" dropStyle="combo" dx="14" fmlaLink="Data!$AG$3" fmlaRange="Data!$AG$5:$AG$6" noThreeD="1" sel="2"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66675</xdr:colOff>
      <xdr:row>1</xdr:row>
      <xdr:rowOff>188595</xdr:rowOff>
    </xdr:from>
    <xdr:to>
      <xdr:col>11</xdr:col>
      <xdr:colOff>581024</xdr:colOff>
      <xdr:row>2</xdr:row>
      <xdr:rowOff>771525</xdr:rowOff>
    </xdr:to>
    <xdr:pic>
      <xdr:nvPicPr>
        <xdr:cNvPr id="2" name="Afbeelding 1"/>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colorTemperature colorTemp="7499"/>
                  </a14:imgEffect>
                  <a14:imgEffect>
                    <a14:saturation sat="244000"/>
                  </a14:imgEffect>
                  <a14:imgEffect>
                    <a14:brightnessContrast bright="30000"/>
                  </a14:imgEffect>
                </a14:imgLayer>
              </a14:imgProps>
            </a:ext>
            <a:ext uri="{28A0092B-C50C-407E-A947-70E740481C1C}">
              <a14:useLocalDpi xmlns:a14="http://schemas.microsoft.com/office/drawing/2010/main" val="0"/>
            </a:ext>
          </a:extLst>
        </a:blip>
        <a:srcRect l="826" t="-12500" r="-826" b="7500"/>
        <a:stretch/>
      </xdr:blipFill>
      <xdr:spPr>
        <a:xfrm>
          <a:off x="2708275" y="239395"/>
          <a:ext cx="4210049" cy="8242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19050</xdr:colOff>
          <xdr:row>5</xdr:row>
          <xdr:rowOff>19050</xdr:rowOff>
        </xdr:from>
        <xdr:to>
          <xdr:col>11</xdr:col>
          <xdr:colOff>600075</xdr:colOff>
          <xdr:row>5</xdr:row>
          <xdr:rowOff>180975</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xdr:row>
          <xdr:rowOff>19050</xdr:rowOff>
        </xdr:from>
        <xdr:to>
          <xdr:col>8</xdr:col>
          <xdr:colOff>495300</xdr:colOff>
          <xdr:row>6</xdr:row>
          <xdr:rowOff>180975</xdr:rowOff>
        </xdr:to>
        <xdr:sp macro="" textlink="">
          <xdr:nvSpPr>
            <xdr:cNvPr id="1029" name="Scroll Bar 5" hidden="1">
              <a:extLst>
                <a:ext uri="{63B3BB69-23CF-44E3-9099-C40C66FF867C}">
                  <a14:compatExt spid="_x0000_s102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19050</xdr:rowOff>
        </xdr:from>
        <xdr:to>
          <xdr:col>11</xdr:col>
          <xdr:colOff>600075</xdr:colOff>
          <xdr:row>7</xdr:row>
          <xdr:rowOff>180975</xdr:rowOff>
        </xdr:to>
        <xdr:sp macro="" textlink="">
          <xdr:nvSpPr>
            <xdr:cNvPr id="1032" name="Drop Down 8"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28575</xdr:rowOff>
        </xdr:from>
        <xdr:to>
          <xdr:col>8</xdr:col>
          <xdr:colOff>495300</xdr:colOff>
          <xdr:row>8</xdr:row>
          <xdr:rowOff>180975</xdr:rowOff>
        </xdr:to>
        <xdr:sp macro="" textlink="">
          <xdr:nvSpPr>
            <xdr:cNvPr id="1033" name="Scroll Bar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19050</xdr:rowOff>
        </xdr:from>
        <xdr:to>
          <xdr:col>11</xdr:col>
          <xdr:colOff>600075</xdr:colOff>
          <xdr:row>9</xdr:row>
          <xdr:rowOff>180975</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19050</xdr:rowOff>
        </xdr:from>
        <xdr:to>
          <xdr:col>11</xdr:col>
          <xdr:colOff>600075</xdr:colOff>
          <xdr:row>12</xdr:row>
          <xdr:rowOff>180975</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19050</xdr:rowOff>
        </xdr:from>
        <xdr:to>
          <xdr:col>11</xdr:col>
          <xdr:colOff>600075</xdr:colOff>
          <xdr:row>13</xdr:row>
          <xdr:rowOff>180975</xdr:rowOff>
        </xdr:to>
        <xdr:sp macro="" textlink="">
          <xdr:nvSpPr>
            <xdr:cNvPr id="1038" name="Drop Down 14"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xdr:row>
          <xdr:rowOff>19050</xdr:rowOff>
        </xdr:from>
        <xdr:to>
          <xdr:col>11</xdr:col>
          <xdr:colOff>600075</xdr:colOff>
          <xdr:row>11</xdr:row>
          <xdr:rowOff>180975</xdr:rowOff>
        </xdr:to>
        <xdr:sp macro="" textlink="">
          <xdr:nvSpPr>
            <xdr:cNvPr id="1039" name="Drop Dow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19050</xdr:rowOff>
        </xdr:from>
        <xdr:to>
          <xdr:col>11</xdr:col>
          <xdr:colOff>600075</xdr:colOff>
          <xdr:row>10</xdr:row>
          <xdr:rowOff>180975</xdr:rowOff>
        </xdr:to>
        <xdr:sp macro="" textlink="">
          <xdr:nvSpPr>
            <xdr:cNvPr id="1040" name="Drop Down 16"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28575</xdr:rowOff>
        </xdr:from>
        <xdr:to>
          <xdr:col>4</xdr:col>
          <xdr:colOff>609600</xdr:colOff>
          <xdr:row>24</xdr:row>
          <xdr:rowOff>171450</xdr:rowOff>
        </xdr:to>
        <xdr:sp macro="" textlink="">
          <xdr:nvSpPr>
            <xdr:cNvPr id="1044" name="Scroll Bar 20" hidden="1">
              <a:extLst>
                <a:ext uri="{63B3BB69-23CF-44E3-9099-C40C66FF867C}">
                  <a14:compatExt spid="_x0000_s1044"/>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5"/>
  <sheetViews>
    <sheetView tabSelected="1" zoomScaleNormal="100" workbookViewId="0">
      <selection activeCell="F5" sqref="F5:L5"/>
    </sheetView>
  </sheetViews>
  <sheetFormatPr defaultColWidth="0" defaultRowHeight="12.75" zeroHeight="1" x14ac:dyDescent="0.15"/>
  <cols>
    <col min="1" max="1" width="0.75" style="2" customWidth="1"/>
    <col min="2" max="5" width="8.5" style="2" customWidth="1"/>
    <col min="6" max="12" width="8.125" style="2" customWidth="1"/>
    <col min="13" max="15" width="8.5" style="2" customWidth="1"/>
    <col min="16" max="16" width="8.25" style="2" customWidth="1"/>
    <col min="17" max="17" width="0.75" style="2" hidden="1" customWidth="1"/>
    <col min="18" max="19" width="15.75" style="2" hidden="1" customWidth="1"/>
    <col min="20" max="20" width="0.75" style="13" customWidth="1"/>
    <col min="21" max="16384" width="9" style="2" hidden="1"/>
  </cols>
  <sheetData>
    <row r="1" spans="1:21" ht="4.5" customHeight="1" thickBot="1" x14ac:dyDescent="0.2">
      <c r="A1" s="13"/>
      <c r="B1" s="13"/>
      <c r="C1" s="13"/>
      <c r="D1" s="13"/>
      <c r="E1" s="13"/>
      <c r="F1" s="13"/>
      <c r="G1" s="13"/>
      <c r="H1" s="13"/>
      <c r="I1" s="13"/>
      <c r="J1" s="13"/>
      <c r="K1" s="13"/>
      <c r="L1" s="13"/>
      <c r="M1" s="13"/>
      <c r="N1" s="13"/>
      <c r="O1" s="13"/>
      <c r="P1" s="13"/>
      <c r="Q1" s="13"/>
    </row>
    <row r="2" spans="1:21" ht="19.5" customHeight="1" x14ac:dyDescent="0.15">
      <c r="A2" s="13"/>
      <c r="B2" s="866" t="str">
        <f>CONCATENATE("Besluit activiteiten leefomgeving Emissie eisen stookinstallaties - BalEes.xls versie ",Data!$P$33)</f>
        <v>Besluit activiteiten leefomgeving Emissie eisen stookinstallaties - BalEes.xls versie &lt;vs1&gt;</v>
      </c>
      <c r="C2" s="867"/>
      <c r="D2" s="867"/>
      <c r="E2" s="867"/>
      <c r="F2" s="867"/>
      <c r="G2" s="867"/>
      <c r="H2" s="867"/>
      <c r="I2" s="867"/>
      <c r="J2" s="867"/>
      <c r="K2" s="867"/>
      <c r="L2" s="867"/>
      <c r="M2" s="867"/>
      <c r="N2" s="867"/>
      <c r="O2" s="867"/>
      <c r="P2" s="868"/>
      <c r="Q2" s="13"/>
    </row>
    <row r="3" spans="1:21" ht="71.25" customHeight="1" thickBot="1" x14ac:dyDescent="0.2">
      <c r="A3" s="13"/>
      <c r="B3" s="900" t="str">
        <f ca="1">CONCATENATE("BalEes is een uitgave van",CHAR(10),"het InformatiePunt LeefOmgeving.",CHAR(10),"Versie ",Data!B4,IF(Geldig,CONCATENATE(" is te gebruiken tot ",DAY(Data!$B$3),"-",MONTH(Data!$B$3),"-",YEAR(Data!$B$3),".")," is verlopen, download de nieuwe versie van www.infomil.nl/Balees"),IF(F5&lt;&gt;"",CONCATENATE(CHAR(10),CHAR(10),"Ondanks de zorgvuldigheid waarmee dit werkblad is opgesteld, zijn fouten niet uit te sluiten. "),""))</f>
        <v>BalEes is een uitgave van
het InformatiePunt LeefOmgeving.
Versie &lt;vs1&gt; is te gebruiken tot 1-4-2024.</v>
      </c>
      <c r="C3" s="884"/>
      <c r="D3" s="884"/>
      <c r="E3" s="884"/>
      <c r="F3" s="891" t="str">
        <f>IF(LEFT(Versie,2)="&lt;v",CONCATENATE("Als u fouten ontdekt in deze versie van BalEes, dan horen we dat graag via een mail aan wim.burgers@rws.nl."),"")</f>
        <v>Als u fouten ontdekt in deze versie van BalEes, dan horen we dat graag via een mail aan wim.burgers@rws.nl.</v>
      </c>
      <c r="G3" s="892"/>
      <c r="H3" s="892"/>
      <c r="I3" s="892"/>
      <c r="J3" s="892"/>
      <c r="K3" s="892"/>
      <c r="L3" s="893"/>
      <c r="M3" s="883" t="str">
        <f>IF(F5="",CONCATENATE("Ondanks de zorgvuldigheid waarmee dit werkblad is opgesteld, zijn fouten niet uit te sluiten. "),IF(M12&lt;&gt;"","",CONCATENATE(S38,".")))</f>
        <v xml:space="preserve">Ondanks de zorgvuldigheid waarmee dit werkblad is opgesteld, zijn fouten niet uit te sluiten. </v>
      </c>
      <c r="N3" s="884"/>
      <c r="O3" s="884"/>
      <c r="P3" s="885"/>
      <c r="Q3" s="13"/>
    </row>
    <row r="4" spans="1:21" ht="17.100000000000001" customHeight="1" x14ac:dyDescent="0.15">
      <c r="A4" s="13"/>
      <c r="B4" s="103" t="s">
        <v>445</v>
      </c>
      <c r="C4" s="104"/>
      <c r="D4" s="104"/>
      <c r="E4" s="104"/>
      <c r="F4" s="901"/>
      <c r="G4" s="902"/>
      <c r="H4" s="902"/>
      <c r="I4" s="902"/>
      <c r="J4" s="902"/>
      <c r="K4" s="902"/>
      <c r="L4" s="903"/>
      <c r="M4" s="271" t="s">
        <v>72</v>
      </c>
      <c r="N4" s="104"/>
      <c r="O4" s="104"/>
      <c r="P4" s="801"/>
      <c r="Q4" s="13"/>
    </row>
    <row r="5" spans="1:21" ht="17.100000000000001" customHeight="1" x14ac:dyDescent="0.15">
      <c r="A5" s="13"/>
      <c r="B5" s="94" t="s">
        <v>47</v>
      </c>
      <c r="C5" s="95"/>
      <c r="D5" s="95"/>
      <c r="E5" s="95"/>
      <c r="F5" s="886"/>
      <c r="G5" s="887"/>
      <c r="H5" s="887"/>
      <c r="I5" s="887"/>
      <c r="J5" s="887"/>
      <c r="K5" s="887"/>
      <c r="L5" s="887"/>
      <c r="M5" s="894"/>
      <c r="N5" s="895"/>
      <c r="O5" s="895"/>
      <c r="P5" s="896"/>
      <c r="Q5" s="13"/>
    </row>
    <row r="6" spans="1:21" ht="17.100000000000001" customHeight="1" x14ac:dyDescent="0.15">
      <c r="A6" s="13"/>
      <c r="B6" s="97" t="s">
        <v>12</v>
      </c>
      <c r="C6" s="98"/>
      <c r="D6" s="98"/>
      <c r="E6" s="98"/>
      <c r="F6" s="99"/>
      <c r="G6" s="98"/>
      <c r="H6" s="98"/>
      <c r="I6" s="98"/>
      <c r="J6" s="98"/>
      <c r="K6" s="98"/>
      <c r="L6" s="98"/>
      <c r="M6" s="708" t="str">
        <f ca="1">IF(AND(OR(SI=17,SI=16),TBRAND1&lt;&gt;3,TBRAND2&lt;&gt;3),"Let op, geen van de brandstoffen is een afvalstof","")</f>
        <v/>
      </c>
      <c r="N6" s="709"/>
      <c r="O6" s="709"/>
      <c r="P6" s="710"/>
      <c r="Q6" s="13"/>
    </row>
    <row r="7" spans="1:21" ht="17.100000000000001" customHeight="1" x14ac:dyDescent="0.15">
      <c r="A7" s="13"/>
      <c r="B7" s="94" t="s">
        <v>102</v>
      </c>
      <c r="C7" s="95"/>
      <c r="D7" s="95"/>
      <c r="E7" s="95"/>
      <c r="F7" s="272"/>
      <c r="G7" s="113"/>
      <c r="H7" s="114"/>
      <c r="I7" s="115"/>
      <c r="J7" s="116" t="str">
        <f ca="1">CONCATENATE(MW," MWth")</f>
        <v>10 MWth</v>
      </c>
      <c r="K7" s="114"/>
      <c r="L7" s="116"/>
      <c r="M7" s="865" t="str">
        <f>IF(F7&lt;&gt;"","De schuifbalk werkt niet, omdat gele cel niet leeg is","")</f>
        <v/>
      </c>
      <c r="N7" s="711"/>
      <c r="O7" s="711"/>
      <c r="P7" s="712"/>
      <c r="Q7" s="13"/>
    </row>
    <row r="8" spans="1:21" ht="17.100000000000001" customHeight="1" x14ac:dyDescent="0.15">
      <c r="A8" s="13"/>
      <c r="B8" s="117" t="s">
        <v>14</v>
      </c>
      <c r="C8" s="118"/>
      <c r="D8" s="118"/>
      <c r="E8" s="118"/>
      <c r="F8" s="273"/>
      <c r="G8" s="118"/>
      <c r="H8" s="118"/>
      <c r="I8" s="118"/>
      <c r="J8" s="118"/>
      <c r="K8" s="119"/>
      <c r="L8" s="119"/>
      <c r="M8" s="897" t="str">
        <f ca="1">IF(AND(TSI=-1,FBRAND1="s"),"Deze brandstof past niet bij het type stookinstallatie","")</f>
        <v/>
      </c>
      <c r="N8" s="898"/>
      <c r="O8" s="898"/>
      <c r="P8" s="899"/>
      <c r="Q8" s="87"/>
      <c r="R8" s="12"/>
      <c r="S8" s="12"/>
      <c r="T8" s="285"/>
      <c r="U8" s="12"/>
    </row>
    <row r="9" spans="1:21" ht="17.100000000000001" customHeight="1" x14ac:dyDescent="0.15">
      <c r="A9" s="13"/>
      <c r="B9" s="94" t="s">
        <v>54</v>
      </c>
      <c r="C9" s="95"/>
      <c r="D9" s="95"/>
      <c r="E9" s="95"/>
      <c r="F9" s="272"/>
      <c r="G9" s="96"/>
      <c r="H9" s="95"/>
      <c r="I9" s="100"/>
      <c r="J9" s="100" t="str">
        <f ca="1">CONCATENATE(ABRAND2,"%")</f>
        <v>0%</v>
      </c>
      <c r="K9" s="100"/>
      <c r="L9" s="100"/>
      <c r="M9" s="865" t="str">
        <f>IF(F9&lt;&gt;"","De schuifbalk werkt niet, omdat gele cel niet leeg is","")</f>
        <v/>
      </c>
      <c r="N9" s="711"/>
      <c r="O9" s="711"/>
      <c r="P9" s="712"/>
      <c r="Q9" s="87"/>
      <c r="R9" s="12"/>
      <c r="S9" s="12"/>
      <c r="T9" s="285"/>
      <c r="U9" s="12"/>
    </row>
    <row r="10" spans="1:21" ht="17.100000000000001" customHeight="1" x14ac:dyDescent="0.15">
      <c r="A10" s="13"/>
      <c r="B10" s="97" t="str">
        <f ca="1">IF(J9="0%","","Secundaire brandstof")</f>
        <v/>
      </c>
      <c r="C10" s="98"/>
      <c r="D10" s="98"/>
      <c r="E10" s="98"/>
      <c r="F10" s="99"/>
      <c r="G10" s="98"/>
      <c r="H10" s="98"/>
      <c r="I10" s="98"/>
      <c r="J10" s="98"/>
      <c r="K10" s="98"/>
      <c r="L10" s="98"/>
      <c r="M10" s="888" t="str">
        <f ca="1">IF(AND(TSI=-1,FBRAND2="s"),"Deze brandstof past niet bij het type stookinstallatie","")</f>
        <v/>
      </c>
      <c r="N10" s="889"/>
      <c r="O10" s="889"/>
      <c r="P10" s="890"/>
      <c r="Q10" s="87"/>
      <c r="R10" s="12"/>
      <c r="S10" s="12"/>
      <c r="T10" s="285"/>
      <c r="U10" s="12"/>
    </row>
    <row r="11" spans="1:21" ht="17.100000000000001" customHeight="1" x14ac:dyDescent="0.15">
      <c r="A11" s="13"/>
      <c r="B11" s="120" t="str">
        <f ca="1">IF(Data!AG5="","","Hoofddoel verbranden afval")</f>
        <v/>
      </c>
      <c r="C11" s="121"/>
      <c r="D11" s="121"/>
      <c r="E11" s="121"/>
      <c r="F11" s="122"/>
      <c r="G11" s="121"/>
      <c r="H11" s="121"/>
      <c r="I11" s="121"/>
      <c r="J11" s="121"/>
      <c r="K11" s="121"/>
      <c r="L11" s="121"/>
      <c r="M11" s="713"/>
      <c r="N11" s="714"/>
      <c r="O11" s="714"/>
      <c r="P11" s="715"/>
      <c r="Q11" s="13"/>
    </row>
    <row r="12" spans="1:21" ht="17.100000000000001" customHeight="1" x14ac:dyDescent="0.15">
      <c r="A12" s="13"/>
      <c r="B12" s="97" t="str">
        <f ca="1">IF(OR(TMW="grote",B11&lt;&gt;""),"Datum vergunningverlening","Datum ingebruikname")</f>
        <v>Datum ingebruikname</v>
      </c>
      <c r="C12" s="98"/>
      <c r="D12" s="98"/>
      <c r="E12" s="98"/>
      <c r="F12" s="99"/>
      <c r="G12" s="98"/>
      <c r="H12" s="98"/>
      <c r="I12" s="98"/>
      <c r="J12" s="98"/>
      <c r="K12" s="98"/>
      <c r="L12" s="98"/>
      <c r="M12" s="888" t="str">
        <f ca="1">IF(Data!U4="","Voer de datum ingebruikname in!","")</f>
        <v/>
      </c>
      <c r="N12" s="889"/>
      <c r="O12" s="889"/>
      <c r="P12" s="890"/>
      <c r="Q12" s="13"/>
    </row>
    <row r="13" spans="1:21" ht="17.100000000000001" customHeight="1" x14ac:dyDescent="0.15">
      <c r="A13" s="13"/>
      <c r="B13" s="94" t="str">
        <f ca="1">IF(Regelgeving!AF4&lt;&gt;"4.4","Bedrijfstijd","")</f>
        <v>Bedrijfstijd</v>
      </c>
      <c r="C13" s="95"/>
      <c r="D13" s="95"/>
      <c r="E13" s="95"/>
      <c r="F13" s="102"/>
      <c r="G13" s="95"/>
      <c r="H13" s="95"/>
      <c r="I13" s="95"/>
      <c r="J13" s="95"/>
      <c r="K13" s="95"/>
      <c r="L13" s="95"/>
      <c r="M13" s="718"/>
      <c r="N13" s="706"/>
      <c r="O13" s="706"/>
      <c r="P13" s="707"/>
      <c r="Q13" s="88"/>
      <c r="R13" s="11"/>
      <c r="S13" s="11"/>
      <c r="T13" s="88"/>
    </row>
    <row r="14" spans="1:21" ht="17.100000000000001" customHeight="1" x14ac:dyDescent="0.15">
      <c r="A14" s="13"/>
      <c r="B14" s="97" t="str">
        <f ca="1">IF(Data!Y4="","","Installatie in de offshore")</f>
        <v/>
      </c>
      <c r="C14" s="98"/>
      <c r="D14" s="98"/>
      <c r="E14" s="98"/>
      <c r="F14" s="99"/>
      <c r="G14" s="98"/>
      <c r="H14" s="98"/>
      <c r="I14" s="98"/>
      <c r="J14" s="98"/>
      <c r="K14" s="101"/>
      <c r="L14" s="101"/>
      <c r="M14" s="695"/>
      <c r="N14" s="716"/>
      <c r="O14" s="716"/>
      <c r="P14" s="717"/>
      <c r="Q14" s="13"/>
    </row>
    <row r="15" spans="1:21" ht="17.100000000000001" hidden="1" customHeight="1" thickBot="1" x14ac:dyDescent="0.2">
      <c r="A15" s="13"/>
      <c r="B15" s="286"/>
      <c r="C15" s="287"/>
      <c r="D15" s="287"/>
      <c r="E15" s="287"/>
      <c r="F15" s="288"/>
      <c r="G15" s="287"/>
      <c r="H15" s="287"/>
      <c r="I15" s="287"/>
      <c r="J15" s="287"/>
      <c r="K15" s="289"/>
      <c r="L15" s="289"/>
      <c r="M15" s="719"/>
      <c r="N15" s="720"/>
      <c r="O15" s="720"/>
      <c r="P15" s="721"/>
      <c r="Q15" s="13"/>
    </row>
    <row r="16" spans="1:21" ht="17.100000000000001" customHeight="1" x14ac:dyDescent="0.15">
      <c r="A16" s="13"/>
      <c r="B16" s="105" t="s">
        <v>32</v>
      </c>
      <c r="C16" s="106"/>
      <c r="D16" s="106"/>
      <c r="E16" s="106"/>
      <c r="F16" s="274" t="str">
        <f ca="1">IF(AND(Geldig,SPECSI&lt;&gt;""),CONCATENATE(IF(AND(ParBAL1&lt;&gt;"",ParBAL2&lt;&gt;"",ParBAL1&lt;&gt;ParBAL2),CONCATENATE("§",ParBAL," en §",IF(ParBAL1&lt;&gt;ParBAL,ParBAL1,ParBAL2)),CONCATENATE("§",IF(ParBAL1&lt;&gt;"",ParBAL1,ParBAL2)))," - ",SPECSI),"")</f>
        <v>§4.126 - Standaard middelgrote stookinstallatie gestookt op standaard brandstof</v>
      </c>
      <c r="G16" s="107"/>
      <c r="H16" s="107"/>
      <c r="I16" s="107"/>
      <c r="J16" s="107"/>
      <c r="K16" s="107"/>
      <c r="L16" s="107"/>
      <c r="M16" s="107"/>
      <c r="N16" s="107"/>
      <c r="O16" s="107"/>
      <c r="P16" s="108"/>
      <c r="Q16" s="13"/>
    </row>
    <row r="17" spans="1:19" ht="16.5" customHeight="1" x14ac:dyDescent="0.15">
      <c r="A17" s="13"/>
      <c r="B17" s="874" t="s">
        <v>80</v>
      </c>
      <c r="C17" s="875"/>
      <c r="D17" s="875"/>
      <c r="E17" s="875"/>
      <c r="F17" s="869" t="str">
        <f ca="1">CONCATENATE(Regelgeving!AG4,", ",Regelgeving!AO4)</f>
        <v>nee, tenzij installatie onderdeel is van grootschalige energieopwekking, zie art 3.55</v>
      </c>
      <c r="G17" s="870"/>
      <c r="H17" s="870"/>
      <c r="I17" s="870"/>
      <c r="J17" s="870"/>
      <c r="K17" s="870"/>
      <c r="L17" s="870"/>
      <c r="M17" s="870"/>
      <c r="N17" s="725"/>
      <c r="O17" s="725"/>
      <c r="P17" s="109"/>
      <c r="Q17" s="13"/>
    </row>
    <row r="18" spans="1:19" ht="24.75" customHeight="1" x14ac:dyDescent="0.15">
      <c r="A18" s="13"/>
      <c r="B18" s="876" t="s">
        <v>87</v>
      </c>
      <c r="C18" s="877"/>
      <c r="D18" s="877"/>
      <c r="E18" s="877"/>
      <c r="F18" s="871" t="str">
        <f ca="1">CONCATENATE(Regelgeving!AH4,", ",Regelgeving!AP4)</f>
        <v>ja, installatie kan onderdeel zijn van een samenstel van stookinstallaties, omdat de samenstelregel geldt vanaf 1 MW, zie art. 4.1292 3e lid</v>
      </c>
      <c r="G18" s="872"/>
      <c r="H18" s="872"/>
      <c r="I18" s="872"/>
      <c r="J18" s="872"/>
      <c r="K18" s="872"/>
      <c r="L18" s="872"/>
      <c r="M18" s="872"/>
      <c r="N18" s="872"/>
      <c r="O18" s="872"/>
      <c r="P18" s="873"/>
      <c r="Q18" s="13"/>
    </row>
    <row r="19" spans="1:19" ht="24.75" customHeight="1" x14ac:dyDescent="0.15">
      <c r="A19" s="13"/>
      <c r="B19" s="878" t="s">
        <v>115</v>
      </c>
      <c r="C19" s="879"/>
      <c r="D19" s="879"/>
      <c r="E19" s="879"/>
      <c r="F19" s="880" t="str">
        <f ca="1">CONCATENATE(Regelgeving!AI4,", ",Regelgeving!AQ4)</f>
        <v>nee, zie art. 4.1296</v>
      </c>
      <c r="G19" s="881"/>
      <c r="H19" s="881"/>
      <c r="I19" s="881"/>
      <c r="J19" s="881"/>
      <c r="K19" s="881"/>
      <c r="L19" s="881"/>
      <c r="M19" s="881"/>
      <c r="N19" s="881"/>
      <c r="O19" s="881"/>
      <c r="P19" s="882"/>
      <c r="Q19" s="13"/>
    </row>
    <row r="20" spans="1:19" ht="16.5" customHeight="1" x14ac:dyDescent="0.15">
      <c r="A20" s="13"/>
      <c r="B20" s="876" t="s">
        <v>135</v>
      </c>
      <c r="C20" s="877"/>
      <c r="D20" s="877"/>
      <c r="E20" s="877"/>
      <c r="F20" s="871" t="str">
        <f ca="1">CONCATENATE(Regelgeving!AJ4,", ",Regelgeving!AR4)</f>
        <v>nee, tenzij de stookinstallatie vergunningplichtig is, zie art 3.6</v>
      </c>
      <c r="G20" s="872"/>
      <c r="H20" s="872"/>
      <c r="I20" s="872"/>
      <c r="J20" s="872"/>
      <c r="K20" s="872"/>
      <c r="L20" s="872"/>
      <c r="M20" s="872"/>
      <c r="N20" s="872"/>
      <c r="O20" s="872"/>
      <c r="P20" s="873"/>
      <c r="Q20" s="13"/>
    </row>
    <row r="21" spans="1:19" ht="16.5" customHeight="1" x14ac:dyDescent="0.15">
      <c r="A21" s="13"/>
      <c r="B21" s="878" t="s">
        <v>271</v>
      </c>
      <c r="C21" s="879"/>
      <c r="D21" s="879"/>
      <c r="E21" s="879"/>
      <c r="F21" s="880" t="str">
        <f ca="1">CONCATENATE(Regelgeving!AK4,", ",Regelgeving!AS4)</f>
        <v>nee, tenzij de stookinstallatie vergunningplichtig is, zie art 3.6</v>
      </c>
      <c r="G21" s="881"/>
      <c r="H21" s="881"/>
      <c r="I21" s="881"/>
      <c r="J21" s="881"/>
      <c r="K21" s="881"/>
      <c r="L21" s="881"/>
      <c r="M21" s="881"/>
      <c r="N21" s="881"/>
      <c r="O21" s="881"/>
      <c r="P21" s="882"/>
      <c r="Q21" s="13"/>
    </row>
    <row r="22" spans="1:19" ht="24.75" customHeight="1" x14ac:dyDescent="0.15">
      <c r="A22" s="13"/>
      <c r="B22" s="876" t="s">
        <v>52</v>
      </c>
      <c r="C22" s="877"/>
      <c r="D22" s="877"/>
      <c r="E22" s="877"/>
      <c r="F22" s="871" t="str">
        <f ca="1">CONCATENATE(Regelgeving!AL4,IF(LEFT(Regelgeving!AT4,1)=",","",", "),Regelgeving!AT4)</f>
        <v>nee, de 500-uursregeling geldt niet door de opgegeven bedrijfstijd, zie art. 4.1299.</v>
      </c>
      <c r="G22" s="872"/>
      <c r="H22" s="872"/>
      <c r="I22" s="872"/>
      <c r="J22" s="872"/>
      <c r="K22" s="872"/>
      <c r="L22" s="872"/>
      <c r="M22" s="872"/>
      <c r="N22" s="872"/>
      <c r="O22" s="872"/>
      <c r="P22" s="873"/>
      <c r="Q22" s="13"/>
    </row>
    <row r="23" spans="1:19" ht="16.5" customHeight="1" x14ac:dyDescent="0.15">
      <c r="A23" s="13"/>
      <c r="B23" s="878" t="s">
        <v>74</v>
      </c>
      <c r="C23" s="879"/>
      <c r="D23" s="879"/>
      <c r="E23" s="879"/>
      <c r="F23" s="880" t="str">
        <f ca="1">CONCATENATE(Regelgeving!AM4,", ",Regelgeving!AU4)</f>
        <v>ja, er geldt een 4-jaarlijkse keuringsverplichting, zie art. 4.1326</v>
      </c>
      <c r="G23" s="881"/>
      <c r="H23" s="881"/>
      <c r="I23" s="881"/>
      <c r="J23" s="881"/>
      <c r="K23" s="881"/>
      <c r="L23" s="881"/>
      <c r="M23" s="881"/>
      <c r="N23" s="881"/>
      <c r="O23" s="881"/>
      <c r="P23" s="882"/>
      <c r="Q23" s="13"/>
    </row>
    <row r="24" spans="1:19" ht="24.75" customHeight="1" thickBot="1" x14ac:dyDescent="0.2">
      <c r="A24" s="13"/>
      <c r="B24" s="912" t="s">
        <v>498</v>
      </c>
      <c r="C24" s="913"/>
      <c r="D24" s="913"/>
      <c r="E24" s="914"/>
      <c r="F24" s="915" t="str">
        <f ca="1">CONCATENATE("Er kunnen naast de hieronder genoemde emissie-eisen ook andere emissie-eisen op basis van 5.4.4 gelden als de ondergrens wordt overschreden.",IF(ParBAL&lt;&gt;Regelgeving!AF27,""," Als de stookinstallatie niet vergunningplichtig is, moeten deze eisen met maatwerk gesteld worden."))</f>
        <v>Er kunnen naast de hieronder genoemde emissie-eisen ook andere emissie-eisen op basis van 5.4.4 gelden als de ondergrens wordt overschreden. Als de stookinstallatie niet vergunningplichtig is, moeten deze eisen met maatwerk gesteld worden.</v>
      </c>
      <c r="G24" s="916"/>
      <c r="H24" s="916"/>
      <c r="I24" s="916"/>
      <c r="J24" s="916"/>
      <c r="K24" s="916"/>
      <c r="L24" s="916"/>
      <c r="M24" s="916"/>
      <c r="N24" s="916"/>
      <c r="O24" s="916"/>
      <c r="P24" s="917"/>
      <c r="Q24" s="13"/>
    </row>
    <row r="25" spans="1:19" ht="16.5" customHeight="1" x14ac:dyDescent="0.15">
      <c r="A25" s="13"/>
      <c r="B25" s="103" t="str">
        <f ca="1">CONCATENATE("Emissie-eisen d.d. ",Tdatumtxt)</f>
        <v>Emissie-eisen d.d. 1-1-2024</v>
      </c>
      <c r="C25" s="112"/>
      <c r="D25" s="112"/>
      <c r="E25" s="112"/>
      <c r="F25" s="910" t="s">
        <v>72</v>
      </c>
      <c r="G25" s="911"/>
      <c r="H25" s="91"/>
      <c r="I25" s="91"/>
      <c r="J25" s="91"/>
      <c r="K25" s="91"/>
      <c r="L25" s="91"/>
      <c r="M25" s="91"/>
      <c r="N25" s="91"/>
      <c r="O25" s="91"/>
      <c r="P25" s="92"/>
      <c r="Q25" s="13"/>
    </row>
    <row r="26" spans="1:19" ht="138" customHeight="1" x14ac:dyDescent="0.15">
      <c r="B26" s="110" t="str">
        <f ca="1">IF(ISNA(VLOOKUP(ROW($C26)-ROW($C$25),Data!$L$4:$M$31,2,FALSE)),"",VLOOKUP(ROW($C26)-ROW($C$25),Data!$L$4:$M$31,2,FALSE))</f>
        <v>NOx</v>
      </c>
      <c r="C26" s="904" t="str">
        <f t="shared" ref="C26:C38" ca="1" si="0">IF(OR($B26="",$M$12&lt;&gt;""),"",IF(AND(ISNUMBER(FIND(B26,"NOxCOSO2StofCxHyHCLHF")),ABRAND2&gt;0,OR(INDIRECT(CONCATENATE($B26,"!AF5"))="",INDIRECT(CONCATENATE($B26,"!AF6"))="")),CONCATENATE("Het BAL geeft geen emissie-eis voor de ",IF(INDIRECT(CONCATENATE($B26,"!AF5"))="","primaire ","secundaire ")," brandstof, zodat de mengregel niet kan worden toegepast. Stel de ontbrekende emissie-eis via maatwerk."),CONCATENATE(INDIRECT(CONCATENATE($B26,"!AF4")),IF(BT500uur,CONCATENATE(CHAR(10),CHAR(10),"Op basis van de 500-uursregeling geldt deze eis niet (zie blok regelgeving)."),""),IF(ISNUMBER(FIND("tv",$F$5)),CONCATENATE(CHAR(10),CHAR(10),R26),""))))</f>
        <v>70 mg/Nm³ bij 3 vol% O₂</v>
      </c>
      <c r="D26" s="904"/>
      <c r="E26" s="904"/>
      <c r="F26" s="905" t="str">
        <f ca="1">IF(OR($B26="",$M$12&lt;&gt;""),"",IF(INDIRECT(CONCATENATE($B26,"!AX4"))="","",INDIRECT(CONCATENATE($B26,"!AX4"))))</f>
        <v xml:space="preserve">+ Eis: 70 mg/Nm³ bij 3 vol% O₂ (art. 4.1303)
+ 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G26" s="904"/>
      <c r="H26" s="904"/>
      <c r="I26" s="904"/>
      <c r="J26" s="904"/>
      <c r="K26" s="904"/>
      <c r="L26" s="904"/>
      <c r="M26" s="904"/>
      <c r="N26" s="904"/>
      <c r="O26" s="904"/>
      <c r="P26" s="906"/>
      <c r="Q26" s="13"/>
      <c r="R26" s="4" t="str">
        <f ca="1">IF(B26="","",CONCATENATE("BR1: ",IF(INDIRECT(CONCATENATE($B26,"!B5"))=0,"",CONCATENATE(INDIRECT(CONCATENATE($B26,"!B5")))),IF(INDIRECT(CONCATENATE($B26,"!C6"))=0,"",CONCATENATE(" / BR2: ",INDIRECT(CONCATENATE($B26,"!C6"))))))</f>
        <v>BR1: 42</v>
      </c>
      <c r="S26" s="4" t="str">
        <f ca="1">IF(OR(B26="",ISNA(FIND(" bij",C26))),"",CONCATENATE("&lt;",F5,": samenvatting emissie eisen ",MID(C26,FIND("bij",C26),FIND(" O₂",C26)-FIND("bij",C26)),"&gt;",CHAR(10),B26," ",LEFT(C26,FIND(" bij",C26)-1)))</f>
        <v>&lt;: samenvatting emissie eisen bij 3 vol%&gt;
NOx 70 mg/Nm³</v>
      </c>
    </row>
    <row r="27" spans="1:19" ht="138" customHeight="1" x14ac:dyDescent="0.15">
      <c r="B27" s="111" t="str">
        <f ca="1">IF(ISNA(VLOOKUP(ROW($C27)-ROW($C$25),Data!$L$4:$M$31,2,FALSE)),"",VLOOKUP(ROW($C27)-ROW($C$25),Data!$L$4:$M$31,2,FALSE))</f>
        <v/>
      </c>
      <c r="C27" s="907" t="str">
        <f t="shared" ca="1" si="0"/>
        <v/>
      </c>
      <c r="D27" s="907"/>
      <c r="E27" s="907"/>
      <c r="F27" s="908" t="str">
        <f t="shared" ref="F27:F38" ca="1" si="1">IF(OR($B27="",$M$12&lt;&gt;""),"",IF(INDIRECT(CONCATENATE($B27,"!AX4"))="","",INDIRECT(CONCATENATE($B27,"!AX4"))))</f>
        <v/>
      </c>
      <c r="G27" s="907"/>
      <c r="H27" s="907"/>
      <c r="I27" s="907"/>
      <c r="J27" s="907"/>
      <c r="K27" s="907"/>
      <c r="L27" s="907"/>
      <c r="M27" s="907"/>
      <c r="N27" s="907"/>
      <c r="O27" s="907"/>
      <c r="P27" s="909"/>
      <c r="Q27" s="13"/>
      <c r="R27" s="4" t="str">
        <f t="shared" ref="R27:R38" ca="1" si="2">IF(B27="","",CONCATENATE("BR1: ",IF(INDIRECT(CONCATENATE($B27,"!B5"))=0,"",CONCATENATE(INDIRECT(CONCATENATE($B27,"!B5")))),IF(INDIRECT(CONCATENATE($B27,"!C6"))=0,"",CONCATENATE(" / BR2: ",INDIRECT(CONCATENATE($B27,"!C6"))))))</f>
        <v/>
      </c>
      <c r="S27" s="4" t="str">
        <f ca="1">IF(OR(B27="",ISNA(FIND(" bij",C27))),S26,CONCATENATE(S26,", ",B27," ",LEFT(C27,FIND(" bij",C27)-1)))</f>
        <v>&lt;: samenvatting emissie eisen bij 3 vol%&gt;
NOx 70 mg/Nm³</v>
      </c>
    </row>
    <row r="28" spans="1:19" ht="138" customHeight="1" x14ac:dyDescent="0.15">
      <c r="B28" s="110" t="str">
        <f ca="1">IF(ISNA(VLOOKUP(ROW($C28)-ROW($C$25),Data!$L$4:$M$31,2,FALSE)),"",VLOOKUP(ROW($C28)-ROW($C$25),Data!$L$4:$M$31,2,FALSE))</f>
        <v/>
      </c>
      <c r="C28" s="904" t="str">
        <f t="shared" ca="1" si="0"/>
        <v/>
      </c>
      <c r="D28" s="904"/>
      <c r="E28" s="904"/>
      <c r="F28" s="905" t="str">
        <f t="shared" ca="1" si="1"/>
        <v/>
      </c>
      <c r="G28" s="904"/>
      <c r="H28" s="904"/>
      <c r="I28" s="904"/>
      <c r="J28" s="904"/>
      <c r="K28" s="904"/>
      <c r="L28" s="904"/>
      <c r="M28" s="904"/>
      <c r="N28" s="904"/>
      <c r="O28" s="904"/>
      <c r="P28" s="906"/>
      <c r="Q28" s="13"/>
      <c r="R28" s="4" t="str">
        <f t="shared" ca="1" si="2"/>
        <v/>
      </c>
      <c r="S28" s="4" t="str">
        <f t="shared" ref="S28:S38" ca="1" si="3">IF(OR(B28="",ISNA(FIND(" bij",C28))),S27,CONCATENATE(S27,", ",B28," ",LEFT(C28,FIND(" bij",C28)-1)))</f>
        <v>&lt;: samenvatting emissie eisen bij 3 vol%&gt;
NOx 70 mg/Nm³</v>
      </c>
    </row>
    <row r="29" spans="1:19" ht="138" customHeight="1" x14ac:dyDescent="0.15">
      <c r="B29" s="111" t="str">
        <f ca="1">IF(ISNA(VLOOKUP(ROW($C29)-ROW($C$25),Data!$L$4:$M$31,2,FALSE)),"",VLOOKUP(ROW($C29)-ROW($C$25),Data!$L$4:$M$31,2,FALSE))</f>
        <v/>
      </c>
      <c r="C29" s="907" t="str">
        <f t="shared" ca="1" si="0"/>
        <v/>
      </c>
      <c r="D29" s="907"/>
      <c r="E29" s="907"/>
      <c r="F29" s="908" t="str">
        <f t="shared" ca="1" si="1"/>
        <v/>
      </c>
      <c r="G29" s="907"/>
      <c r="H29" s="907"/>
      <c r="I29" s="907"/>
      <c r="J29" s="907"/>
      <c r="K29" s="907"/>
      <c r="L29" s="907"/>
      <c r="M29" s="907"/>
      <c r="N29" s="907"/>
      <c r="O29" s="907"/>
      <c r="P29" s="909"/>
      <c r="Q29" s="13"/>
      <c r="R29" s="4" t="str">
        <f t="shared" ca="1" si="2"/>
        <v/>
      </c>
      <c r="S29" s="4" t="str">
        <f ca="1">IF(OR(B29="",ISNA(FIND(" bij",C29))),S28,CONCATENATE(S28,",",CHAR(10),B29," ",LEFT(C29,FIND(" bij",C29)-1)))</f>
        <v>&lt;: samenvatting emissie eisen bij 3 vol%&gt;
NOx 70 mg/Nm³</v>
      </c>
    </row>
    <row r="30" spans="1:19" ht="138" customHeight="1" x14ac:dyDescent="0.15">
      <c r="B30" s="110" t="str">
        <f ca="1">IF(ISNA(VLOOKUP(ROW($C30)-ROW($C$25),Data!$L$4:$M$31,2,FALSE)),"",VLOOKUP(ROW($C30)-ROW($C$25),Data!$L$4:$M$31,2,FALSE))</f>
        <v/>
      </c>
      <c r="C30" s="904" t="str">
        <f t="shared" ca="1" si="0"/>
        <v/>
      </c>
      <c r="D30" s="904"/>
      <c r="E30" s="904"/>
      <c r="F30" s="905" t="str">
        <f t="shared" ca="1" si="1"/>
        <v/>
      </c>
      <c r="G30" s="904"/>
      <c r="H30" s="904"/>
      <c r="I30" s="904"/>
      <c r="J30" s="904"/>
      <c r="K30" s="904"/>
      <c r="L30" s="904"/>
      <c r="M30" s="904"/>
      <c r="N30" s="904"/>
      <c r="O30" s="904"/>
      <c r="P30" s="906"/>
      <c r="Q30" s="13"/>
      <c r="R30" s="4" t="str">
        <f t="shared" ca="1" si="2"/>
        <v/>
      </c>
      <c r="S30" s="4" t="str">
        <f t="shared" ca="1" si="3"/>
        <v>&lt;: samenvatting emissie eisen bij 3 vol%&gt;
NOx 70 mg/Nm³</v>
      </c>
    </row>
    <row r="31" spans="1:19" ht="138" customHeight="1" x14ac:dyDescent="0.15">
      <c r="B31" s="111" t="str">
        <f ca="1">IF(ISNA(VLOOKUP(ROW($C31)-ROW($C$25),Data!$L$4:$M$31,2,FALSE)),"",VLOOKUP(ROW($C31)-ROW($C$25),Data!$L$4:$M$31,2,FALSE))</f>
        <v/>
      </c>
      <c r="C31" s="907" t="str">
        <f t="shared" ca="1" si="0"/>
        <v/>
      </c>
      <c r="D31" s="907"/>
      <c r="E31" s="907"/>
      <c r="F31" s="908" t="str">
        <f t="shared" ca="1" si="1"/>
        <v/>
      </c>
      <c r="G31" s="907"/>
      <c r="H31" s="907"/>
      <c r="I31" s="907"/>
      <c r="J31" s="907"/>
      <c r="K31" s="907"/>
      <c r="L31" s="907"/>
      <c r="M31" s="907"/>
      <c r="N31" s="907"/>
      <c r="O31" s="907"/>
      <c r="P31" s="909"/>
      <c r="Q31" s="13"/>
      <c r="R31" s="4" t="str">
        <f t="shared" ca="1" si="2"/>
        <v/>
      </c>
      <c r="S31" s="4" t="str">
        <f ca="1">IF(OR(B31="",ISNA(FIND(" bij",C31))),S30,CONCATENATE(S30,",",CHAR(10),B31," ",LEFT(C31,FIND(" bij",C31)-1)))</f>
        <v>&lt;: samenvatting emissie eisen bij 3 vol%&gt;
NOx 70 mg/Nm³</v>
      </c>
    </row>
    <row r="32" spans="1:19" ht="138" customHeight="1" x14ac:dyDescent="0.15">
      <c r="B32" s="110" t="str">
        <f ca="1">IF(ISNA(VLOOKUP(ROW($C32)-ROW($C$25),Data!$L$4:$M$31,2,FALSE)),"",VLOOKUP(ROW($C32)-ROW($C$25),Data!$L$4:$M$31,2,FALSE))</f>
        <v/>
      </c>
      <c r="C32" s="904" t="str">
        <f t="shared" ca="1" si="0"/>
        <v/>
      </c>
      <c r="D32" s="904"/>
      <c r="E32" s="904"/>
      <c r="F32" s="905" t="str">
        <f t="shared" ca="1" si="1"/>
        <v/>
      </c>
      <c r="G32" s="904"/>
      <c r="H32" s="904"/>
      <c r="I32" s="904"/>
      <c r="J32" s="904"/>
      <c r="K32" s="904"/>
      <c r="L32" s="904"/>
      <c r="M32" s="904"/>
      <c r="N32" s="904"/>
      <c r="O32" s="904"/>
      <c r="P32" s="906"/>
      <c r="Q32" s="13"/>
      <c r="R32" s="4" t="str">
        <f t="shared" ca="1" si="2"/>
        <v/>
      </c>
      <c r="S32" s="4" t="str">
        <f t="shared" ca="1" si="3"/>
        <v>&lt;: samenvatting emissie eisen bij 3 vol%&gt;
NOx 70 mg/Nm³</v>
      </c>
    </row>
    <row r="33" spans="1:19" ht="138" customHeight="1" x14ac:dyDescent="0.15">
      <c r="B33" s="111" t="str">
        <f ca="1">IF(ISNA(VLOOKUP(ROW($C33)-ROW($C$25),Data!$L$4:$M$31,2,FALSE)),"",VLOOKUP(ROW($C33)-ROW($C$25),Data!$L$4:$M$31,2,FALSE))</f>
        <v/>
      </c>
      <c r="C33" s="907" t="str">
        <f t="shared" ca="1" si="0"/>
        <v/>
      </c>
      <c r="D33" s="907"/>
      <c r="E33" s="907"/>
      <c r="F33" s="908" t="str">
        <f t="shared" ca="1" si="1"/>
        <v/>
      </c>
      <c r="G33" s="907"/>
      <c r="H33" s="907"/>
      <c r="I33" s="907"/>
      <c r="J33" s="907"/>
      <c r="K33" s="907"/>
      <c r="L33" s="907"/>
      <c r="M33" s="907"/>
      <c r="N33" s="907"/>
      <c r="O33" s="907"/>
      <c r="P33" s="909"/>
      <c r="Q33" s="13"/>
      <c r="R33" s="4" t="str">
        <f t="shared" ca="1" si="2"/>
        <v/>
      </c>
      <c r="S33" s="4" t="str">
        <f t="shared" ca="1" si="3"/>
        <v>&lt;: samenvatting emissie eisen bij 3 vol%&gt;
NOx 70 mg/Nm³</v>
      </c>
    </row>
    <row r="34" spans="1:19" ht="138" customHeight="1" x14ac:dyDescent="0.15">
      <c r="B34" s="110" t="str">
        <f ca="1">IF(ISNA(VLOOKUP(ROW($C34)-ROW($C$25),Data!$L$4:$M$31,2,FALSE)),"",VLOOKUP(ROW($C34)-ROW($C$25),Data!$L$4:$M$31,2,FALSE))</f>
        <v/>
      </c>
      <c r="C34" s="904" t="str">
        <f t="shared" ca="1" si="0"/>
        <v/>
      </c>
      <c r="D34" s="904"/>
      <c r="E34" s="904"/>
      <c r="F34" s="905" t="str">
        <f t="shared" ca="1" si="1"/>
        <v/>
      </c>
      <c r="G34" s="904"/>
      <c r="H34" s="904"/>
      <c r="I34" s="904"/>
      <c r="J34" s="904"/>
      <c r="K34" s="904"/>
      <c r="L34" s="904"/>
      <c r="M34" s="904"/>
      <c r="N34" s="904"/>
      <c r="O34" s="904"/>
      <c r="P34" s="906"/>
      <c r="Q34" s="13"/>
      <c r="R34" s="4" t="str">
        <f t="shared" ca="1" si="2"/>
        <v/>
      </c>
      <c r="S34" s="4" t="str">
        <f ca="1">IF(OR(B34="",ISNA(FIND(" bij",C34))),S33,CONCATENATE(S33,",",CHAR(10),B34," ",LEFT(C34,FIND(" bij",C34)-1)))</f>
        <v>&lt;: samenvatting emissie eisen bij 3 vol%&gt;
NOx 70 mg/Nm³</v>
      </c>
    </row>
    <row r="35" spans="1:19" ht="138" customHeight="1" x14ac:dyDescent="0.15">
      <c r="B35" s="111" t="str">
        <f ca="1">IF(ISNA(VLOOKUP(ROW($C35)-ROW($C$25),Data!$L$4:$M$31,2,FALSE)),"",VLOOKUP(ROW($C35)-ROW($C$25),Data!$L$4:$M$31,2,FALSE))</f>
        <v/>
      </c>
      <c r="C35" s="907" t="str">
        <f t="shared" ca="1" si="0"/>
        <v/>
      </c>
      <c r="D35" s="907"/>
      <c r="E35" s="907"/>
      <c r="F35" s="908" t="str">
        <f t="shared" ca="1" si="1"/>
        <v/>
      </c>
      <c r="G35" s="907"/>
      <c r="H35" s="907"/>
      <c r="I35" s="907"/>
      <c r="J35" s="907"/>
      <c r="K35" s="907"/>
      <c r="L35" s="907"/>
      <c r="M35" s="907"/>
      <c r="N35" s="907"/>
      <c r="O35" s="907"/>
      <c r="P35" s="909"/>
      <c r="Q35" s="13"/>
      <c r="R35" s="4" t="str">
        <f t="shared" ca="1" si="2"/>
        <v/>
      </c>
      <c r="S35" s="4" t="str">
        <f t="shared" ca="1" si="3"/>
        <v>&lt;: samenvatting emissie eisen bij 3 vol%&gt;
NOx 70 mg/Nm³</v>
      </c>
    </row>
    <row r="36" spans="1:19" ht="138" customHeight="1" x14ac:dyDescent="0.15">
      <c r="B36" s="110" t="str">
        <f ca="1">IF(ISNA(VLOOKUP(ROW($C36)-ROW($C$25),Data!$L$4:$M$31,2,FALSE)),"",VLOOKUP(ROW($C36)-ROW($C$25),Data!$L$4:$M$31,2,FALSE))</f>
        <v/>
      </c>
      <c r="C36" s="904" t="str">
        <f t="shared" ca="1" si="0"/>
        <v/>
      </c>
      <c r="D36" s="904"/>
      <c r="E36" s="904"/>
      <c r="F36" s="905" t="str">
        <f t="shared" ca="1" si="1"/>
        <v/>
      </c>
      <c r="G36" s="904"/>
      <c r="H36" s="904"/>
      <c r="I36" s="904"/>
      <c r="J36" s="904"/>
      <c r="K36" s="904"/>
      <c r="L36" s="904"/>
      <c r="M36" s="904"/>
      <c r="N36" s="904"/>
      <c r="O36" s="904"/>
      <c r="P36" s="906"/>
      <c r="Q36" s="13"/>
      <c r="R36" s="4" t="str">
        <f t="shared" ca="1" si="2"/>
        <v/>
      </c>
      <c r="S36" s="4" t="str">
        <f ca="1">IF(OR(B36="",ISNA(FIND(" bij",C36))),S35,CONCATENATE(S35,",",CHAR(10),B36," ",LEFT(C36,FIND(" bij",C36)-1)))</f>
        <v>&lt;: samenvatting emissie eisen bij 3 vol%&gt;
NOx 70 mg/Nm³</v>
      </c>
    </row>
    <row r="37" spans="1:19" ht="138" customHeight="1" x14ac:dyDescent="0.15">
      <c r="B37" s="111" t="str">
        <f ca="1">IF(ISNA(VLOOKUP(ROW($C37)-ROW($C$25),Data!$L$4:$M$31,2,FALSE)),"",VLOOKUP(ROW($C37)-ROW($C$25),Data!$L$4:$M$31,2,FALSE))</f>
        <v/>
      </c>
      <c r="C37" s="907" t="str">
        <f t="shared" ca="1" si="0"/>
        <v/>
      </c>
      <c r="D37" s="907"/>
      <c r="E37" s="907"/>
      <c r="F37" s="908" t="str">
        <f t="shared" ca="1" si="1"/>
        <v/>
      </c>
      <c r="G37" s="907"/>
      <c r="H37" s="907"/>
      <c r="I37" s="907"/>
      <c r="J37" s="907"/>
      <c r="K37" s="907"/>
      <c r="L37" s="907"/>
      <c r="M37" s="907"/>
      <c r="N37" s="907"/>
      <c r="O37" s="907"/>
      <c r="P37" s="909"/>
      <c r="Q37" s="13"/>
      <c r="R37" s="4" t="str">
        <f t="shared" ca="1" si="2"/>
        <v/>
      </c>
      <c r="S37" s="4" t="str">
        <f ca="1">IF(OR(B37="",ISNA(FIND(" bij",C37))),S36,CONCATENATE(S36,", ",B37," ",LEFT(C37,FIND(" bij",C37)-1)))</f>
        <v>&lt;: samenvatting emissie eisen bij 3 vol%&gt;
NOx 70 mg/Nm³</v>
      </c>
    </row>
    <row r="38" spans="1:19" ht="138" customHeight="1" x14ac:dyDescent="0.15">
      <c r="B38" s="110" t="str">
        <f ca="1">IF(ISNA(VLOOKUP(ROW($C38)-ROW($C$25),Data!$L$4:$M$31,2,FALSE)),"",VLOOKUP(ROW($C38)-ROW($C$25),Data!$L$4:$M$31,2,FALSE))</f>
        <v/>
      </c>
      <c r="C38" s="904" t="str">
        <f t="shared" ca="1" si="0"/>
        <v/>
      </c>
      <c r="D38" s="904"/>
      <c r="E38" s="904"/>
      <c r="F38" s="905" t="str">
        <f t="shared" ca="1" si="1"/>
        <v/>
      </c>
      <c r="G38" s="904"/>
      <c r="H38" s="904"/>
      <c r="I38" s="904"/>
      <c r="J38" s="904"/>
      <c r="K38" s="904"/>
      <c r="L38" s="904"/>
      <c r="M38" s="904"/>
      <c r="N38" s="904"/>
      <c r="O38" s="904"/>
      <c r="P38" s="906"/>
      <c r="Q38" s="13"/>
      <c r="R38" s="4" t="str">
        <f t="shared" ca="1" si="2"/>
        <v/>
      </c>
      <c r="S38" s="4" t="str">
        <f t="shared" ca="1" si="3"/>
        <v>&lt;: samenvatting emissie eisen bij 3 vol%&gt;
NOx 70 mg/Nm³</v>
      </c>
    </row>
    <row r="39" spans="1:19" s="13" customFormat="1" ht="6" hidden="1" customHeight="1" x14ac:dyDescent="0.15">
      <c r="B39" s="722"/>
      <c r="C39" s="722"/>
      <c r="D39" s="722"/>
      <c r="E39" s="722"/>
      <c r="F39" s="722"/>
      <c r="G39" s="722"/>
      <c r="H39" s="722"/>
      <c r="I39" s="722"/>
      <c r="J39" s="722"/>
      <c r="K39" s="722"/>
      <c r="L39" s="722"/>
      <c r="M39" s="722"/>
      <c r="N39" s="722"/>
      <c r="O39" s="722"/>
      <c r="P39" s="722"/>
    </row>
    <row r="40" spans="1:19" s="13" customFormat="1" ht="17.100000000000001" hidden="1" customHeight="1" x14ac:dyDescent="0.15">
      <c r="B40" s="722"/>
      <c r="C40" s="722"/>
      <c r="D40" s="722"/>
      <c r="E40" s="722"/>
      <c r="F40" s="722"/>
      <c r="G40" s="722"/>
      <c r="H40" s="722"/>
      <c r="I40" s="722"/>
      <c r="J40" s="722"/>
      <c r="K40" s="722"/>
      <c r="L40" s="722"/>
      <c r="M40" s="722"/>
      <c r="N40" s="722"/>
      <c r="O40" s="722"/>
      <c r="P40" s="722"/>
    </row>
    <row r="41" spans="1:19" ht="6" customHeight="1" x14ac:dyDescent="0.15">
      <c r="A41" s="13"/>
      <c r="B41" s="722"/>
      <c r="C41" s="722"/>
      <c r="D41" s="722"/>
      <c r="E41" s="722"/>
      <c r="F41" s="722"/>
      <c r="G41" s="722"/>
      <c r="H41" s="722"/>
      <c r="I41" s="722"/>
      <c r="J41" s="722"/>
      <c r="K41" s="722"/>
      <c r="L41" s="722"/>
      <c r="M41" s="722"/>
      <c r="N41" s="722"/>
      <c r="O41" s="722"/>
      <c r="P41" s="722"/>
      <c r="Q41" s="13"/>
      <c r="R41" s="13"/>
      <c r="S41" s="13"/>
    </row>
    <row r="42" spans="1:19" ht="17.100000000000001" hidden="1" customHeight="1" x14ac:dyDescent="0.15">
      <c r="B42" s="90"/>
      <c r="C42" s="90"/>
      <c r="D42" s="90"/>
      <c r="E42" s="90"/>
      <c r="F42" s="90"/>
      <c r="G42" s="90"/>
      <c r="H42" s="90"/>
      <c r="I42" s="90"/>
      <c r="J42" s="90"/>
      <c r="K42" s="90"/>
      <c r="L42" s="90"/>
      <c r="M42" s="90"/>
      <c r="N42" s="90"/>
      <c r="O42" s="90"/>
      <c r="P42" s="90"/>
    </row>
    <row r="43" spans="1:19" ht="17.100000000000001" hidden="1" customHeight="1" x14ac:dyDescent="0.15">
      <c r="B43" s="90"/>
      <c r="C43" s="90"/>
      <c r="D43" s="90"/>
      <c r="E43" s="90"/>
      <c r="F43" s="90"/>
      <c r="G43" s="90"/>
      <c r="H43" s="90"/>
      <c r="I43" s="90"/>
      <c r="J43" s="90"/>
      <c r="K43" s="90"/>
      <c r="L43" s="90"/>
      <c r="M43" s="90"/>
      <c r="N43" s="90"/>
      <c r="O43" s="90"/>
      <c r="P43" s="90"/>
    </row>
    <row r="44" spans="1:19" ht="17.100000000000001" hidden="1" customHeight="1" x14ac:dyDescent="0.15">
      <c r="B44" s="90"/>
      <c r="C44" s="90"/>
      <c r="D44" s="90"/>
      <c r="E44" s="90"/>
      <c r="F44" s="90"/>
      <c r="G44" s="90"/>
      <c r="H44" s="90"/>
      <c r="I44" s="90"/>
      <c r="J44" s="90"/>
      <c r="K44" s="90"/>
      <c r="L44" s="90"/>
      <c r="M44" s="90"/>
      <c r="N44" s="90"/>
      <c r="O44" s="90"/>
      <c r="P44" s="90"/>
    </row>
    <row r="45" spans="1:19" ht="17.100000000000001" hidden="1" customHeight="1" x14ac:dyDescent="0.15">
      <c r="B45" s="90"/>
      <c r="C45" s="90"/>
      <c r="D45" s="90"/>
      <c r="E45" s="90"/>
      <c r="F45" s="90"/>
      <c r="G45" s="90"/>
      <c r="H45" s="90"/>
      <c r="I45" s="90"/>
      <c r="J45" s="90"/>
      <c r="K45" s="90"/>
      <c r="L45" s="90"/>
      <c r="M45" s="90"/>
      <c r="N45" s="90"/>
      <c r="O45" s="90"/>
      <c r="P45" s="90"/>
    </row>
    <row r="46" spans="1:19" ht="17.100000000000001" hidden="1" customHeight="1" x14ac:dyDescent="0.15"/>
    <row r="47" spans="1:19" ht="17.100000000000001" hidden="1" customHeight="1" x14ac:dyDescent="0.15"/>
    <row r="48" spans="1:19" ht="17.100000000000001" hidden="1" customHeight="1" x14ac:dyDescent="0.15"/>
    <row r="49" ht="17.100000000000001" hidden="1" customHeight="1" x14ac:dyDescent="0.15"/>
    <row r="50" ht="17.100000000000001" hidden="1" customHeight="1" x14ac:dyDescent="0.15"/>
    <row r="51" ht="17.100000000000001" hidden="1" customHeight="1" x14ac:dyDescent="0.15"/>
    <row r="52" ht="17.100000000000001" hidden="1" customHeight="1" x14ac:dyDescent="0.15"/>
    <row r="53" ht="17.100000000000001" hidden="1" customHeight="1" x14ac:dyDescent="0.15"/>
    <row r="54" ht="17.100000000000001" hidden="1" customHeight="1" x14ac:dyDescent="0.15"/>
    <row r="55" ht="17.100000000000001" hidden="1" customHeight="1" x14ac:dyDescent="0.15"/>
    <row r="56" ht="17.100000000000001" hidden="1" customHeight="1" x14ac:dyDescent="0.15"/>
    <row r="57" ht="17.100000000000001" hidden="1" customHeight="1" x14ac:dyDescent="0.15"/>
    <row r="58" ht="17.100000000000001" hidden="1" customHeight="1" x14ac:dyDescent="0.15"/>
    <row r="59" ht="17.100000000000001" hidden="1" customHeight="1" x14ac:dyDescent="0.15"/>
    <row r="60" ht="17.100000000000001" hidden="1" customHeight="1" x14ac:dyDescent="0.15"/>
    <row r="61" ht="17.100000000000001" hidden="1" customHeight="1" x14ac:dyDescent="0.15"/>
    <row r="62" ht="17.100000000000001" hidden="1" customHeight="1" x14ac:dyDescent="0.15"/>
    <row r="63" ht="17.100000000000001" hidden="1" customHeight="1" x14ac:dyDescent="0.15"/>
    <row r="64" ht="17.100000000000001" hidden="1" customHeight="1" x14ac:dyDescent="0.15"/>
    <row r="65" ht="17.100000000000001" hidden="1" customHeight="1" x14ac:dyDescent="0.15"/>
    <row r="66" ht="17.100000000000001" hidden="1" customHeight="1" x14ac:dyDescent="0.15"/>
    <row r="67" ht="17.100000000000001" hidden="1" customHeight="1" x14ac:dyDescent="0.15"/>
    <row r="68" ht="17.100000000000001" hidden="1" customHeight="1" x14ac:dyDescent="0.15"/>
    <row r="69" ht="17.100000000000001" hidden="1" customHeight="1" x14ac:dyDescent="0.15"/>
    <row r="70" ht="17.100000000000001" hidden="1" customHeight="1" x14ac:dyDescent="0.15"/>
    <row r="71" ht="17.100000000000001" hidden="1" customHeight="1" x14ac:dyDescent="0.15"/>
    <row r="72" ht="17.100000000000001" hidden="1" customHeight="1" x14ac:dyDescent="0.15"/>
    <row r="73" ht="17.100000000000001" hidden="1" customHeight="1" x14ac:dyDescent="0.15"/>
    <row r="74" ht="17.100000000000001" hidden="1" customHeight="1" x14ac:dyDescent="0.15"/>
    <row r="75" ht="17.100000000000001" hidden="1" customHeight="1" x14ac:dyDescent="0.15"/>
  </sheetData>
  <sheetProtection algorithmName="SHA-512" hashValue="s7VZfYfokUUv0xTSN1B2l/Za8KjN83mvrWb6tqll/2RZeY7TWO+BB3TFilm6veS9MDLzuwZwNjFUqxiXY3uhiw==" saltValue="iCkE5370a1a37f8EZg1eeQ==" spinCount="100000" sheet="1" objects="1" scenarios="1"/>
  <mergeCells count="53">
    <mergeCell ref="C30:E30"/>
    <mergeCell ref="F32:P32"/>
    <mergeCell ref="C27:E27"/>
    <mergeCell ref="F27:P27"/>
    <mergeCell ref="C28:E28"/>
    <mergeCell ref="C34:E34"/>
    <mergeCell ref="F34:P34"/>
    <mergeCell ref="F22:P22"/>
    <mergeCell ref="F23:P23"/>
    <mergeCell ref="B22:E22"/>
    <mergeCell ref="B23:E23"/>
    <mergeCell ref="F25:G25"/>
    <mergeCell ref="C33:E33"/>
    <mergeCell ref="F33:P33"/>
    <mergeCell ref="B24:E24"/>
    <mergeCell ref="F24:P24"/>
    <mergeCell ref="C26:E26"/>
    <mergeCell ref="F26:P26"/>
    <mergeCell ref="C29:E29"/>
    <mergeCell ref="F29:P29"/>
    <mergeCell ref="F28:P28"/>
    <mergeCell ref="B21:E21"/>
    <mergeCell ref="M8:P8"/>
    <mergeCell ref="B3:E3"/>
    <mergeCell ref="F4:L4"/>
    <mergeCell ref="C38:E38"/>
    <mergeCell ref="F38:P38"/>
    <mergeCell ref="F30:P30"/>
    <mergeCell ref="C31:E31"/>
    <mergeCell ref="F31:P31"/>
    <mergeCell ref="C32:E32"/>
    <mergeCell ref="C36:E36"/>
    <mergeCell ref="F36:P36"/>
    <mergeCell ref="C37:E37"/>
    <mergeCell ref="F37:P37"/>
    <mergeCell ref="C35:E35"/>
    <mergeCell ref="F35:P35"/>
    <mergeCell ref="F21:P21"/>
    <mergeCell ref="F18:P18"/>
    <mergeCell ref="F19:P19"/>
    <mergeCell ref="M3:P3"/>
    <mergeCell ref="F5:L5"/>
    <mergeCell ref="M10:P10"/>
    <mergeCell ref="F3:L3"/>
    <mergeCell ref="M5:P5"/>
    <mergeCell ref="M12:P12"/>
    <mergeCell ref="B2:P2"/>
    <mergeCell ref="F17:M17"/>
    <mergeCell ref="F20:P20"/>
    <mergeCell ref="B17:E17"/>
    <mergeCell ref="B18:E18"/>
    <mergeCell ref="B19:E19"/>
    <mergeCell ref="B20:E20"/>
  </mergeCells>
  <conditionalFormatting sqref="M3:P3">
    <cfRule type="expression" dxfId="0" priority="3">
      <formula>$F$5&lt;&gt;""</formula>
    </cfRule>
  </conditionalFormatting>
  <dataValidations count="2">
    <dataValidation type="whole" allowBlank="1" showInputMessage="1" showErrorMessage="1" sqref="F9">
      <formula1>0</formula1>
      <formula2>50</formula2>
    </dataValidation>
    <dataValidation type="decimal" allowBlank="1" showInputMessage="1" showErrorMessage="1" error="Waarde mag niet kleiner dan 0,1 MWth zijn" sqref="F7">
      <formula1>0.1</formula1>
      <formula2>2000</formula2>
    </dataValidation>
  </dataValidations>
  <pageMargins left="0.25" right="0.25" top="0.75" bottom="0.75" header="0.3" footer="0.3"/>
  <pageSetup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5</xdr:col>
                    <xdr:colOff>19050</xdr:colOff>
                    <xdr:row>5</xdr:row>
                    <xdr:rowOff>19050</xdr:rowOff>
                  </from>
                  <to>
                    <xdr:col>11</xdr:col>
                    <xdr:colOff>600075</xdr:colOff>
                    <xdr:row>5</xdr:row>
                    <xdr:rowOff>180975</xdr:rowOff>
                  </to>
                </anchor>
              </controlPr>
            </control>
          </mc:Choice>
        </mc:AlternateContent>
        <mc:AlternateContent xmlns:mc="http://schemas.openxmlformats.org/markup-compatibility/2006">
          <mc:Choice Requires="x14">
            <control shapeId="1029" r:id="rId5" name="Scroll Bar 5">
              <controlPr defaultSize="0" autoPict="0">
                <anchor moveWithCells="1">
                  <from>
                    <xdr:col>6</xdr:col>
                    <xdr:colOff>19050</xdr:colOff>
                    <xdr:row>6</xdr:row>
                    <xdr:rowOff>19050</xdr:rowOff>
                  </from>
                  <to>
                    <xdr:col>8</xdr:col>
                    <xdr:colOff>495300</xdr:colOff>
                    <xdr:row>6</xdr:row>
                    <xdr:rowOff>180975</xdr:rowOff>
                  </to>
                </anchor>
              </controlPr>
            </control>
          </mc:Choice>
        </mc:AlternateContent>
        <mc:AlternateContent xmlns:mc="http://schemas.openxmlformats.org/markup-compatibility/2006">
          <mc:Choice Requires="x14">
            <control shapeId="1032" r:id="rId6" name="Drop Down 8">
              <controlPr defaultSize="0" autoLine="0" autoPict="0">
                <anchor moveWithCells="1">
                  <from>
                    <xdr:col>5</xdr:col>
                    <xdr:colOff>19050</xdr:colOff>
                    <xdr:row>7</xdr:row>
                    <xdr:rowOff>19050</xdr:rowOff>
                  </from>
                  <to>
                    <xdr:col>11</xdr:col>
                    <xdr:colOff>600075</xdr:colOff>
                    <xdr:row>7</xdr:row>
                    <xdr:rowOff>180975</xdr:rowOff>
                  </to>
                </anchor>
              </controlPr>
            </control>
          </mc:Choice>
        </mc:AlternateContent>
        <mc:AlternateContent xmlns:mc="http://schemas.openxmlformats.org/markup-compatibility/2006">
          <mc:Choice Requires="x14">
            <control shapeId="1033" r:id="rId7" name="Scroll Bar 9">
              <controlPr defaultSize="0" autoPict="0">
                <anchor moveWithCells="1">
                  <from>
                    <xdr:col>6</xdr:col>
                    <xdr:colOff>19050</xdr:colOff>
                    <xdr:row>8</xdr:row>
                    <xdr:rowOff>28575</xdr:rowOff>
                  </from>
                  <to>
                    <xdr:col>8</xdr:col>
                    <xdr:colOff>495300</xdr:colOff>
                    <xdr:row>8</xdr:row>
                    <xdr:rowOff>180975</xdr:rowOff>
                  </to>
                </anchor>
              </controlPr>
            </control>
          </mc:Choice>
        </mc:AlternateContent>
        <mc:AlternateContent xmlns:mc="http://schemas.openxmlformats.org/markup-compatibility/2006">
          <mc:Choice Requires="x14">
            <control shapeId="1035" r:id="rId8" name="Drop Down 11">
              <controlPr defaultSize="0" autoLine="0" autoPict="0">
                <anchor moveWithCells="1">
                  <from>
                    <xdr:col>5</xdr:col>
                    <xdr:colOff>19050</xdr:colOff>
                    <xdr:row>9</xdr:row>
                    <xdr:rowOff>19050</xdr:rowOff>
                  </from>
                  <to>
                    <xdr:col>11</xdr:col>
                    <xdr:colOff>600075</xdr:colOff>
                    <xdr:row>9</xdr:row>
                    <xdr:rowOff>180975</xdr:rowOff>
                  </to>
                </anchor>
              </controlPr>
            </control>
          </mc:Choice>
        </mc:AlternateContent>
        <mc:AlternateContent xmlns:mc="http://schemas.openxmlformats.org/markup-compatibility/2006">
          <mc:Choice Requires="x14">
            <control shapeId="1036" r:id="rId9" name="Drop Down 12">
              <controlPr defaultSize="0" autoLine="0" autoPict="0">
                <anchor moveWithCells="1">
                  <from>
                    <xdr:col>5</xdr:col>
                    <xdr:colOff>19050</xdr:colOff>
                    <xdr:row>12</xdr:row>
                    <xdr:rowOff>19050</xdr:rowOff>
                  </from>
                  <to>
                    <xdr:col>11</xdr:col>
                    <xdr:colOff>600075</xdr:colOff>
                    <xdr:row>12</xdr:row>
                    <xdr:rowOff>180975</xdr:rowOff>
                  </to>
                </anchor>
              </controlPr>
            </control>
          </mc:Choice>
        </mc:AlternateContent>
        <mc:AlternateContent xmlns:mc="http://schemas.openxmlformats.org/markup-compatibility/2006">
          <mc:Choice Requires="x14">
            <control shapeId="1038" r:id="rId10" name="Drop Down 14">
              <controlPr defaultSize="0" autoLine="0" autoPict="0">
                <anchor moveWithCells="1">
                  <from>
                    <xdr:col>5</xdr:col>
                    <xdr:colOff>19050</xdr:colOff>
                    <xdr:row>13</xdr:row>
                    <xdr:rowOff>19050</xdr:rowOff>
                  </from>
                  <to>
                    <xdr:col>11</xdr:col>
                    <xdr:colOff>600075</xdr:colOff>
                    <xdr:row>13</xdr:row>
                    <xdr:rowOff>180975</xdr:rowOff>
                  </to>
                </anchor>
              </controlPr>
            </control>
          </mc:Choice>
        </mc:AlternateContent>
        <mc:AlternateContent xmlns:mc="http://schemas.openxmlformats.org/markup-compatibility/2006">
          <mc:Choice Requires="x14">
            <control shapeId="1039" r:id="rId11" name="Drop Down 15">
              <controlPr defaultSize="0" autoLine="0" autoPict="0">
                <anchor moveWithCells="1">
                  <from>
                    <xdr:col>5</xdr:col>
                    <xdr:colOff>19050</xdr:colOff>
                    <xdr:row>11</xdr:row>
                    <xdr:rowOff>19050</xdr:rowOff>
                  </from>
                  <to>
                    <xdr:col>11</xdr:col>
                    <xdr:colOff>600075</xdr:colOff>
                    <xdr:row>11</xdr:row>
                    <xdr:rowOff>180975</xdr:rowOff>
                  </to>
                </anchor>
              </controlPr>
            </control>
          </mc:Choice>
        </mc:AlternateContent>
        <mc:AlternateContent xmlns:mc="http://schemas.openxmlformats.org/markup-compatibility/2006">
          <mc:Choice Requires="x14">
            <control shapeId="1040" r:id="rId12" name="Drop Down 16">
              <controlPr defaultSize="0" autoLine="0" autoPict="0">
                <anchor moveWithCells="1">
                  <from>
                    <xdr:col>5</xdr:col>
                    <xdr:colOff>19050</xdr:colOff>
                    <xdr:row>10</xdr:row>
                    <xdr:rowOff>19050</xdr:rowOff>
                  </from>
                  <to>
                    <xdr:col>11</xdr:col>
                    <xdr:colOff>600075</xdr:colOff>
                    <xdr:row>10</xdr:row>
                    <xdr:rowOff>180975</xdr:rowOff>
                  </to>
                </anchor>
              </controlPr>
            </control>
          </mc:Choice>
        </mc:AlternateContent>
        <mc:AlternateContent xmlns:mc="http://schemas.openxmlformats.org/markup-compatibility/2006">
          <mc:Choice Requires="x14">
            <control shapeId="1044" r:id="rId13" name="Scroll Bar 20">
              <controlPr defaultSize="0" autoPict="0">
                <anchor moveWithCells="1">
                  <from>
                    <xdr:col>4</xdr:col>
                    <xdr:colOff>28575</xdr:colOff>
                    <xdr:row>24</xdr:row>
                    <xdr:rowOff>28575</xdr:rowOff>
                  </from>
                  <to>
                    <xdr:col>4</xdr:col>
                    <xdr:colOff>609600</xdr:colOff>
                    <xdr:row>24</xdr:row>
                    <xdr:rowOff>171450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36"/>
  <sheetViews>
    <sheetView workbookViewId="0">
      <pane xSplit="20" ySplit="6" topLeftCell="AC7" activePane="bottomRight" state="frozen"/>
      <selection pane="topRight" activeCell="U1" sqref="U1"/>
      <selection pane="bottomLeft" activeCell="A7" sqref="A7"/>
      <selection pane="bottomRight" activeCell="AA3" sqref="AA3"/>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6" width="7.12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CxHy</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IF($B$5=0,"",IF(INDEX(AK$1:AK$36,$B$5)="","",IF(AND(OR($AI5="",INGVAN="",$AI5&lt;=INGVAN),OR($AI5="",INGTOT="",$AI5&lt;=INGTOT)),1,0)))</f>
        <v/>
      </c>
      <c r="AL1" s="184" t="str">
        <f ca="1">IF($B$5=0,"",IF(INDEX(AK$1:AK$36,$B$5)="","",IF(AND(OR($AJ5="",INGVAN="",$AJ5&gt;=INGVAN),OR($AJ5="",INGTOT="",$AJ5&gt;=INGTOT)),1,0)))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405</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539</v>
      </c>
      <c r="AB3" s="131" t="s">
        <v>201</v>
      </c>
      <c r="AC3" s="255" t="s">
        <v>202</v>
      </c>
      <c r="AD3" s="132" t="s">
        <v>184</v>
      </c>
      <c r="AE3" s="128" t="s">
        <v>250</v>
      </c>
      <c r="AF3" s="129" t="str">
        <f ca="1">CONCATENATE("emissiegrenswaarde ",CHAR(10),$A$1)</f>
        <v>emissiegrenswaarde 
CxHy</v>
      </c>
      <c r="AG3" s="129" t="s">
        <v>165</v>
      </c>
      <c r="AH3" s="633" t="s">
        <v>356</v>
      </c>
      <c r="AI3" s="642" t="s">
        <v>358</v>
      </c>
      <c r="AJ3" s="282" t="s">
        <v>359</v>
      </c>
      <c r="AK3" s="624" t="s">
        <v>251</v>
      </c>
      <c r="AL3" s="130" t="s">
        <v>183</v>
      </c>
      <c r="AM3" s="652" t="s">
        <v>209</v>
      </c>
      <c r="AN3" s="850" t="s">
        <v>534</v>
      </c>
      <c r="AO3" s="127"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IF(AND(AF5="",AF6=""),"",CONCATENATE(ROUND((100-IF(AF6="",0,ABRAND2))/100*IF(AF5="",0,AF5*(21-AG4)/(21-AG5))+IF(AF5="",100,ABRAND2)/100*IF(AF6="",0,AF6*(21-AG4)/(21-AG6)),0)," ",IF(A2="","",A2)," bij ",AG4," vol% O₂"))</f>
        <v/>
      </c>
      <c r="AG4" s="208">
        <f ca="1">NOx!AG4</f>
        <v>3</v>
      </c>
      <c r="AH4" s="634" t="str">
        <f ca="1">IF($C$6=0,AH5,IF($B$5=0,AH6,IF($B$5&lt;$C$6,AH5,AH6)))</f>
        <v/>
      </c>
      <c r="AI4" s="643"/>
      <c r="AJ4" s="208"/>
      <c r="AK4" s="696"/>
      <c r="AL4" s="208"/>
      <c r="AM4" s="653" t="str">
        <f ca="1">IF($C$6=0,AM5,IF($B$5=0,AM6,IF($B$5&lt;$C$6,AM5,AM6)))</f>
        <v/>
      </c>
      <c r="AN4" s="830"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49" t="str">
        <f t="shared" ref="AO4:AS4" ca="1" si="7">IF($C$6=0,AO5,IF($B$5=0,AO6,IF($B$5&lt;$C$6,AO5,AO6)))</f>
        <v/>
      </c>
      <c r="AP4" s="210" t="str">
        <f t="shared" ca="1" si="7"/>
        <v/>
      </c>
      <c r="AQ4" s="210" t="str">
        <f t="shared" ca="1" si="7"/>
        <v/>
      </c>
      <c r="AR4" s="211" t="str">
        <f t="shared" ca="1" si="7"/>
        <v/>
      </c>
      <c r="AS4" s="210" t="str">
        <f t="shared" ca="1" si="7"/>
        <v/>
      </c>
      <c r="AT4" s="210" t="str">
        <f t="shared" ref="AT4" ca="1" si="8">IF($C$6=0,AT5,IF($B$5=0,AT6,IF($B$5&lt;$C$6,AT5,AT6)))</f>
        <v/>
      </c>
      <c r="AU4" s="212"/>
      <c r="AV4" s="212"/>
      <c r="AW4" s="212"/>
      <c r="AX4" s="213" t="str">
        <f ca="1">CONCATENATE(IF($AL$4="","",$AL$4),IF($AW$2="","",CONCATENATE(IF(AL4&lt;&gt;"",CHAR(10),""),"+ ",$AW$2)))</f>
        <v/>
      </c>
    </row>
    <row r="5" spans="1:50" x14ac:dyDescent="0.2">
      <c r="A5" s="181" t="s">
        <v>29</v>
      </c>
      <c r="B5" s="192">
        <f ca="1">IF(Geldig,MAX(B8:B36),0)</f>
        <v>0</v>
      </c>
      <c r="C5" s="195"/>
      <c r="D5" s="192" t="str">
        <f t="shared" ref="D5:AF5" ca="1" si="9">IF($B$5=0,"",IF(INDEX(D$1:D$36,$B$5)="","",INDEX(D$1:D$36,$B$5)))</f>
        <v/>
      </c>
      <c r="E5" s="193" t="str">
        <f t="shared" ca="1" si="9"/>
        <v/>
      </c>
      <c r="F5" s="193" t="str">
        <f t="shared" ca="1" si="9"/>
        <v/>
      </c>
      <c r="G5" s="193" t="str">
        <f t="shared" ca="1" si="9"/>
        <v/>
      </c>
      <c r="H5" s="193" t="str">
        <f t="shared" ca="1" si="9"/>
        <v/>
      </c>
      <c r="I5" s="194" t="str">
        <f t="shared" ca="1" si="9"/>
        <v/>
      </c>
      <c r="J5" s="193" t="str">
        <f t="shared" ca="1" si="9"/>
        <v/>
      </c>
      <c r="K5" s="194" t="str">
        <f t="shared" ca="1" si="9"/>
        <v/>
      </c>
      <c r="L5" s="193" t="str">
        <f t="shared" ca="1" si="9"/>
        <v/>
      </c>
      <c r="M5" s="194" t="str">
        <f t="shared" ca="1" si="9"/>
        <v/>
      </c>
      <c r="N5" s="194" t="str">
        <f t="shared" ca="1" si="9"/>
        <v/>
      </c>
      <c r="O5" s="195" t="str">
        <f t="shared" ca="1" si="9"/>
        <v/>
      </c>
      <c r="P5" s="187" t="str">
        <f t="shared" ca="1" si="9"/>
        <v/>
      </c>
      <c r="Q5" s="214" t="str">
        <f t="shared" ca="1" si="9"/>
        <v/>
      </c>
      <c r="R5" s="214" t="str">
        <f t="shared" ca="1" si="9"/>
        <v/>
      </c>
      <c r="S5" s="214" t="str">
        <f t="shared" ca="1" si="9"/>
        <v/>
      </c>
      <c r="T5" s="214" t="str">
        <f t="shared" ca="1" si="9"/>
        <v/>
      </c>
      <c r="U5" s="214" t="str">
        <f t="shared" ca="1" si="9"/>
        <v/>
      </c>
      <c r="V5" s="215" t="str">
        <f t="shared" ca="1" si="9"/>
        <v/>
      </c>
      <c r="W5" s="215" t="str">
        <f t="shared" ca="1" si="9"/>
        <v/>
      </c>
      <c r="X5" s="215" t="str">
        <f t="shared" ca="1" si="9"/>
        <v/>
      </c>
      <c r="Y5" s="216" t="str">
        <f t="shared" ca="1" si="9"/>
        <v/>
      </c>
      <c r="Z5" s="217" t="str">
        <f t="shared" ca="1" si="9"/>
        <v/>
      </c>
      <c r="AA5" s="218" t="str">
        <f t="shared" ca="1" si="9"/>
        <v/>
      </c>
      <c r="AB5" s="217" t="str">
        <f t="shared" ca="1" si="9"/>
        <v/>
      </c>
      <c r="AC5" s="219" t="str">
        <f t="shared" ca="1" si="9"/>
        <v/>
      </c>
      <c r="AD5" s="220" t="str">
        <f t="shared" ca="1" si="9"/>
        <v/>
      </c>
      <c r="AE5" s="221" t="str">
        <f t="shared" ca="1" si="9"/>
        <v/>
      </c>
      <c r="AF5" s="222" t="str">
        <f t="shared" ca="1" si="9"/>
        <v/>
      </c>
      <c r="AG5" s="223" t="str">
        <f ca="1">IF($B$5=0,"",IF(INDEX(AG$1:AG$36,$B$5)="",O2BRAND1,INDEX(AG$1:AG$36,$B$5)))</f>
        <v/>
      </c>
      <c r="AH5" s="225" t="str">
        <f ca="1">IF($B$5=0,"",IF(INDEX(AH$1:AH$36,$B$5)="","",INDEX(AH$1:AH$36,$B$5)))</f>
        <v/>
      </c>
      <c r="AI5" s="661" t="str">
        <f ca="1">IF($B$5=0,"",IF(INDEX(AI$1:AI$36,$B$5)="","",INDEX(AI$1:AI$36,$B$5)))</f>
        <v/>
      </c>
      <c r="AJ5" s="218" t="str">
        <f ca="1">IF($B$5=0,"",IF(INDEX(AJ$1:AJ$36,$B$5)="","",INDEX(AJ$1:AJ$36,$B$5)))</f>
        <v/>
      </c>
      <c r="AK5" s="651" t="str">
        <f ca="1">IF($B$5=0,"",IF(INDEX(AK$1:AK$36,$B$5)="","",IF(AND(OR($AI5="",INGVAN="",$AI5&lt;=INGVAN),OR($AI5="",INGTOT="",$AI5&lt;=INGTOT),OR($AJ5="",INGVAN="",$AJ5&gt;=INGVAN),OR($AJ5="",INGTOT="",$AJ5&gt;=INGTOT)),INDEX(AK$1:AK$36,$B$5),"")))</f>
        <v/>
      </c>
      <c r="AL5" s="223" t="str">
        <f ca="1">IF($B$5=0,"",IF(INDEX(AL$1:AL$36,$B$5)="","",IF(AND(OR($AI5="",INGVAN="",$AI5&lt;=INGVAN),OR($AI5="",INGTOT="",$AI5&lt;=INGTOT),OR($AJ5="",INGVAN="",$AJ5&gt;=INGVAN),OR($AJ5="",INGTOT="",$AJ5&gt;=INGTOT)),INDEX(AL$1:AL$36,$B$5),"")))</f>
        <v/>
      </c>
      <c r="AM5" s="224" t="str">
        <f ca="1">IF($B$5=0,"",IF(INDEX(AM$1:AM$36,$B$5)="","",IF(AND(OR($AI5="",INGVAN="",$AI5&lt;=INGVAN),OR($AI5="",INGTOT="",$AI5&lt;=INGTOT),OR($AJ5="",INGVAN="",$AJ5&gt;=INGVAN),OR($AJ5="",INGTOT="",$AJ5&gt;=INGTOT)),INDEX(AM$1:AM$36,$B$5),"")))</f>
        <v/>
      </c>
      <c r="AN5" s="831"/>
      <c r="AO5" s="227" t="str">
        <f t="shared" ref="AO5:AW5" ca="1" si="10">IF($B$5=0,"",IF(INDEX(AO$1:AO$36,$B$5)="","",INDEX(AO$1:AO$36,$B$5)))</f>
        <v/>
      </c>
      <c r="AP5" s="227" t="str">
        <f t="shared" ca="1" si="10"/>
        <v/>
      </c>
      <c r="AQ5" s="227" t="str">
        <f t="shared" ca="1" si="10"/>
        <v/>
      </c>
      <c r="AR5" s="227" t="str">
        <f t="shared" ca="1" si="10"/>
        <v/>
      </c>
      <c r="AS5" s="227" t="str">
        <f t="shared" ca="1" si="10"/>
        <v/>
      </c>
      <c r="AT5" s="227" t="str">
        <f t="shared" ca="1" si="10"/>
        <v/>
      </c>
      <c r="AU5" s="227" t="str">
        <f t="shared" ca="1" si="10"/>
        <v/>
      </c>
      <c r="AV5" s="227" t="str">
        <f t="shared" ca="1" si="10"/>
        <v/>
      </c>
      <c r="AW5" s="227" t="str">
        <f t="shared" ca="1" si="10"/>
        <v/>
      </c>
      <c r="AX5" s="228"/>
    </row>
    <row r="6" spans="1:50" ht="12" thickBot="1" x14ac:dyDescent="0.25">
      <c r="A6" s="182" t="s">
        <v>30</v>
      </c>
      <c r="B6" s="190"/>
      <c r="C6" s="191">
        <f ca="1">MAX(C8:C36)</f>
        <v>0</v>
      </c>
      <c r="D6" s="196" t="str">
        <f t="shared" ref="D6:AF6" ca="1" si="11">IF($C$6=0,"",IF(INDEX(D$1:D$36,$C$6)="","",INDEX(D$1:D$36,$C$6)))</f>
        <v/>
      </c>
      <c r="E6" s="196" t="str">
        <f t="shared" ca="1" si="11"/>
        <v/>
      </c>
      <c r="F6" s="196" t="str">
        <f t="shared" ca="1" si="11"/>
        <v/>
      </c>
      <c r="G6" s="196" t="str">
        <f t="shared" ca="1" si="11"/>
        <v/>
      </c>
      <c r="H6" s="196" t="str">
        <f t="shared" ca="1" si="11"/>
        <v/>
      </c>
      <c r="I6" s="197" t="str">
        <f t="shared" ca="1" si="11"/>
        <v/>
      </c>
      <c r="J6" s="196" t="str">
        <f t="shared" ca="1" si="11"/>
        <v/>
      </c>
      <c r="K6" s="197" t="str">
        <f t="shared" ca="1" si="11"/>
        <v/>
      </c>
      <c r="L6" s="196" t="str">
        <f t="shared" ca="1" si="11"/>
        <v/>
      </c>
      <c r="M6" s="197" t="str">
        <f t="shared" ca="1" si="11"/>
        <v/>
      </c>
      <c r="N6" s="197" t="str">
        <f t="shared" ca="1" si="11"/>
        <v/>
      </c>
      <c r="O6" s="197" t="str">
        <f t="shared" ca="1" si="11"/>
        <v/>
      </c>
      <c r="P6" s="229" t="str">
        <f t="shared" ca="1" si="11"/>
        <v/>
      </c>
      <c r="Q6" s="230" t="str">
        <f t="shared" ca="1" si="11"/>
        <v/>
      </c>
      <c r="R6" s="230" t="str">
        <f t="shared" ca="1" si="11"/>
        <v/>
      </c>
      <c r="S6" s="230" t="str">
        <f t="shared" ca="1" si="11"/>
        <v/>
      </c>
      <c r="T6" s="230" t="str">
        <f t="shared" ca="1" si="11"/>
        <v/>
      </c>
      <c r="U6" s="230" t="str">
        <f t="shared" ca="1" si="11"/>
        <v/>
      </c>
      <c r="V6" s="231" t="str">
        <f t="shared" ca="1" si="11"/>
        <v/>
      </c>
      <c r="W6" s="231" t="str">
        <f t="shared" ca="1" si="11"/>
        <v/>
      </c>
      <c r="X6" s="231" t="str">
        <f t="shared" ca="1" si="11"/>
        <v/>
      </c>
      <c r="Y6" s="232" t="str">
        <f t="shared" ca="1" si="11"/>
        <v/>
      </c>
      <c r="Z6" s="233" t="str">
        <f t="shared" ca="1" si="11"/>
        <v/>
      </c>
      <c r="AA6" s="234" t="str">
        <f t="shared" ca="1" si="11"/>
        <v/>
      </c>
      <c r="AB6" s="233" t="str">
        <f t="shared" ca="1" si="11"/>
        <v/>
      </c>
      <c r="AC6" s="235" t="str">
        <f t="shared" ca="1" si="11"/>
        <v/>
      </c>
      <c r="AD6" s="236" t="str">
        <f t="shared" ca="1" si="11"/>
        <v/>
      </c>
      <c r="AE6" s="237" t="str">
        <f t="shared" ca="1" si="11"/>
        <v/>
      </c>
      <c r="AF6" s="196" t="str">
        <f t="shared" ca="1" si="11"/>
        <v/>
      </c>
      <c r="AG6" s="238" t="str">
        <f ca="1">IF($C$6=0,"",IF(INDEX(AG$1:AG$36,$C$6)="",O2BRAND2,INDEX(AG$1:AG$36,$C$6)))</f>
        <v/>
      </c>
      <c r="AH6" s="239" t="str">
        <f ca="1">IF($C$6=0,"",IF(INDEX(AH$1:AH$36,$C$6)="","",INDEX(AH$1:AH$36,$C$6)))</f>
        <v/>
      </c>
      <c r="AI6" s="662" t="str">
        <f ca="1">IF($C$6=0,"",IF(INDEX(AI$1:AI$36,$C$6)="","",INDEX(AI$1:AI$36,$C$6)))</f>
        <v/>
      </c>
      <c r="AJ6" s="234" t="str">
        <f ca="1">IF($C$6=0,"",IF(INDEX(AJ$1:AJ$36,$C$6)="","",INDEX(AJ$1:AJ$36,$C$6)))</f>
        <v/>
      </c>
      <c r="AK6" s="672" t="str">
        <f ca="1">IF($C$6=0,"",IF(INDEX(AK$1:AK$36,$C$6)="","",IF(AND(OR($AI6="",INGVAN="",$AI6&lt;=INGVAN),OR($AI6="",INGTOT="",$AI6&lt;=INGTOT),OR($AJ6="",INGVAN="",$AJ6&gt;=INGVAN),OR($AJ6="",INGTOT="",$AJ6&gt;=INGTOT)),INDEX(AK$1:AK$36,$C$6),"")))</f>
        <v/>
      </c>
      <c r="AL6" s="238" t="str">
        <f ca="1">IF($C$6=0,"",IF(INDEX(AL$1:AL$36,$C$6)="","",IF(AND(OR($AI6="",INGVAN="",$AI6&lt;=INGVAN),OR($AI6="",INGTOT="",$AI6&lt;=INGTOT),OR($AJ6="",INGVAN="",$AJ6&gt;=INGVAN),OR($AJ6="",INGTOT="",$AJ6&gt;=INGTOT)),INDEX(AL$1:AL$36,$C$6),"")))</f>
        <v/>
      </c>
      <c r="AM6" s="673" t="str">
        <f ca="1">IF($C$6=0,"",IF(INDEX(AM$1:AM$36,$C$6)="","",IF(AND(OR($AI6="",INGVAN="",$AI6&lt;=INGVAN),OR($AI6="",INGTOT="",$AI6&lt;=INGTOT),OR($AJ6="",INGVAN="",$AJ6&gt;=INGVAN),OR($AJ6="",INGTOT="",$AJ6&gt;=INGTOT)),INDEX(AM$1:AM$36,$C$6),"")))</f>
        <v/>
      </c>
      <c r="AN6" s="832"/>
      <c r="AO6" s="241" t="str">
        <f t="shared" ref="AO6:AW6" ca="1" si="12">IF($C$6=0,"",IF(INDEX(AO$1:AO$36,$C$6)="","",INDEX(AO$1:AO$36,$C$6)))</f>
        <v/>
      </c>
      <c r="AP6" s="241" t="str">
        <f t="shared" ca="1" si="12"/>
        <v/>
      </c>
      <c r="AQ6" s="241" t="str">
        <f t="shared" ca="1" si="12"/>
        <v/>
      </c>
      <c r="AR6" s="241" t="str">
        <f t="shared" ca="1" si="12"/>
        <v/>
      </c>
      <c r="AS6" s="241" t="str">
        <f t="shared" ca="1" si="12"/>
        <v/>
      </c>
      <c r="AT6" s="241" t="str">
        <f t="shared" ca="1" si="12"/>
        <v/>
      </c>
      <c r="AU6" s="241" t="str">
        <f t="shared" ca="1" si="12"/>
        <v/>
      </c>
      <c r="AV6" s="241" t="str">
        <f t="shared" ca="1" si="12"/>
        <v/>
      </c>
      <c r="AW6" s="241" t="str">
        <f t="shared" ca="1" si="12"/>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833"/>
      <c r="AO7" s="323" t="s">
        <v>243</v>
      </c>
      <c r="AP7" s="323" t="s">
        <v>244</v>
      </c>
      <c r="AQ7" s="323" t="s">
        <v>475</v>
      </c>
      <c r="AR7" s="323" t="s">
        <v>192</v>
      </c>
      <c r="AS7" s="323"/>
      <c r="AT7" s="320"/>
      <c r="AU7" s="321"/>
      <c r="AV7" s="321"/>
      <c r="AW7" s="321"/>
      <c r="AX7" s="319"/>
    </row>
    <row r="8" spans="1:50" x14ac:dyDescent="0.2">
      <c r="A8" s="295"/>
      <c r="B8" s="339">
        <f t="shared" ref="B8:B13" ca="1" si="13">IF(AND(SUM(D8:K8,L8:M8)=COUNT(D8:K8,L8:M8),COUNT(D8:K8,L8:M8)&gt;0),ROW(B8),0)</f>
        <v>0</v>
      </c>
      <c r="C8" s="249">
        <f t="shared" ref="C8:C13" ca="1" si="14">IF(AND(SUM(D8:K8,N8:O8)=COUNT(D8:K8,N8:O8),COUNT(D8:K8,N8:O8)&gt;0),ROW(B8),0)</f>
        <v>0</v>
      </c>
      <c r="D8" s="246">
        <f ca="1">IF(AND(OR($Z8="",INGVAN="",$Z8&lt;=INGVAN),OR($Z8="",INGTOT="",$Z8&lt;=INGTOT),OR($AA8="",INGVAN="",$AA8&gt;=INGVAN),OR($AA8="",INGTOT="",$AA8&gt;=INGTOT)),1,0)</f>
        <v>1</v>
      </c>
      <c r="E8" s="247">
        <f t="shared" ref="E8:E17" ca="1" si="15">IF(AND(OR($AB8="",Tdatum&gt;=$AB8,AND(AB8&lt;&gt;"",ISNUMBER(FIND("j",LOWER(AD8))))),OR($AC8="",Tdatum&lt;=$AC8)),1,0)</f>
        <v>1</v>
      </c>
      <c r="F8" s="247">
        <f t="shared" ref="F8:F22" ca="1" si="16">IF(AND(OR($S8="",MW&gt;=$S8),OR($T8="",$T8&gt;MW)),1,0)</f>
        <v>1</v>
      </c>
      <c r="G8" s="147">
        <f ca="1">IF(Afvalvernietiging,1,0)</f>
        <v>0</v>
      </c>
      <c r="H8" s="147"/>
      <c r="I8" s="147"/>
      <c r="J8" s="147"/>
      <c r="K8" s="148"/>
      <c r="L8" s="147">
        <f ca="1">IF(OR(TBRAND1=3,AND(G8=1,N8=0)),1,0)</f>
        <v>0</v>
      </c>
      <c r="M8" s="248">
        <f t="shared" ref="M8" ca="1" si="17">IF(AND(ParBAL1&lt;&gt;"",ParBAL1=P8),1,0)</f>
        <v>0</v>
      </c>
      <c r="N8" s="147">
        <f ca="1">IF(TBRAND2=3,1,0)</f>
        <v>0</v>
      </c>
      <c r="O8" s="249">
        <f t="shared" ref="O8" ca="1" si="18">IF(AND(ParBAL2&lt;&gt;"",ParBAL2=P8),1,0)</f>
        <v>0</v>
      </c>
      <c r="P8" s="279" t="s">
        <v>39</v>
      </c>
      <c r="Q8" s="149" t="s">
        <v>48</v>
      </c>
      <c r="R8" s="149" t="s">
        <v>265</v>
      </c>
      <c r="S8" s="149"/>
      <c r="T8" s="149"/>
      <c r="U8" s="150"/>
      <c r="V8" s="150"/>
      <c r="W8" s="150"/>
      <c r="X8" s="150"/>
      <c r="Y8" s="151"/>
      <c r="Z8" s="143"/>
      <c r="AA8" s="144"/>
      <c r="AB8" s="143"/>
      <c r="AC8" s="145"/>
      <c r="AD8" s="146"/>
      <c r="AE8" s="276" t="s">
        <v>121</v>
      </c>
      <c r="AF8" s="152" t="s">
        <v>411</v>
      </c>
      <c r="AG8" s="147"/>
      <c r="AH8" s="636"/>
      <c r="AI8" s="645"/>
      <c r="AJ8" s="269"/>
      <c r="AK8" s="626"/>
      <c r="AL8" s="147"/>
      <c r="AM8" s="655"/>
      <c r="AN8" s="834"/>
      <c r="AO8" s="325" t="str">
        <f>AO$7</f>
        <v xml:space="preserve">Er geldt een continue meetverplichting (art 4.79). </v>
      </c>
      <c r="AP8" s="325" t="str">
        <f t="shared" ref="AP8:AR13" si="19">AP$7</f>
        <v>De kwaliteitsborging van het continue meetsysteem vindt plaats volgen NEN-EN 14181 (art. 4.78). Onder de voorwaarden van art. 4.81 3e lid zijn halfjaarlijkse periodieke metingen door een geaccrediteerd laboratorium volgens NEN-EN 14792 toegestaan (art. 4.78 en 4.84).</v>
      </c>
      <c r="AQ8" s="325" t="str">
        <f t="shared" si="19"/>
        <v>De aangetoonde meetonzekerheid mag niet groter zijn dan 30% van de emissie-eis of 3 mg/Nm3 (art. 4.88).</v>
      </c>
      <c r="AR8"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25"/>
      <c r="AT8" s="149"/>
      <c r="AU8" s="150"/>
      <c r="AV8" s="150"/>
      <c r="AW8" s="150"/>
      <c r="AX8" s="151"/>
    </row>
    <row r="9" spans="1:50" x14ac:dyDescent="0.2">
      <c r="A9" s="295"/>
      <c r="B9" s="339">
        <f t="shared" ca="1" si="13"/>
        <v>0</v>
      </c>
      <c r="C9" s="249">
        <f t="shared" ca="1" si="14"/>
        <v>0</v>
      </c>
      <c r="D9" s="246">
        <f ca="1">IF(AND(OR($Z9="",INGVAN="",$Z9&lt;=INGVAN),OR($Z9="",INGTOT="",$Z9&lt;=INGTOT),OR($AA9="",INGVAN="",$AA9&gt;=INGVAN),OR($AA9="",INGTOT="",$AA9&gt;=INGTOT)),1,0)</f>
        <v>1</v>
      </c>
      <c r="E9" s="247">
        <f t="shared" ca="1" si="15"/>
        <v>1</v>
      </c>
      <c r="F9" s="247">
        <f t="shared" ca="1" si="16"/>
        <v>1</v>
      </c>
      <c r="G9" s="147">
        <f ca="1">IF(EnergieUitAfval,1,0)</f>
        <v>0</v>
      </c>
      <c r="H9" s="147"/>
      <c r="I9" s="147"/>
      <c r="J9" s="147"/>
      <c r="K9" s="148"/>
      <c r="L9" s="147">
        <f ca="1">IF(TBRAND1=3,1,0)</f>
        <v>0</v>
      </c>
      <c r="M9" s="248">
        <f t="shared" ref="M9:M16" ca="1" si="20">IF(AND(ParBAL1&lt;&gt;"",ParBAL1=P9),1,0)</f>
        <v>0</v>
      </c>
      <c r="N9" s="147">
        <f ca="1">IF(TBRAND2=3,1,0)</f>
        <v>0</v>
      </c>
      <c r="O9" s="249">
        <f t="shared" ref="O9:O17" ca="1" si="21">IF(AND(ParBAL2&lt;&gt;"",ParBAL2=P9),1,0)</f>
        <v>0</v>
      </c>
      <c r="P9" s="279" t="s">
        <v>39</v>
      </c>
      <c r="Q9" s="149" t="s">
        <v>266</v>
      </c>
      <c r="R9" s="149" t="s">
        <v>46</v>
      </c>
      <c r="S9" s="149"/>
      <c r="T9" s="149"/>
      <c r="U9" s="150"/>
      <c r="V9" s="150"/>
      <c r="W9" s="150"/>
      <c r="X9" s="150"/>
      <c r="Y9" s="151"/>
      <c r="Z9" s="143"/>
      <c r="AA9" s="144"/>
      <c r="AB9" s="143"/>
      <c r="AC9" s="145"/>
      <c r="AD9" s="146"/>
      <c r="AE9" s="276" t="s">
        <v>121</v>
      </c>
      <c r="AF9" s="152" t="s">
        <v>411</v>
      </c>
      <c r="AG9" s="147"/>
      <c r="AH9" s="636"/>
      <c r="AI9" s="645"/>
      <c r="AJ9" s="269"/>
      <c r="AK9" s="626"/>
      <c r="AL9" s="147"/>
      <c r="AM9" s="655"/>
      <c r="AN9" s="834"/>
      <c r="AO9" s="325" t="str">
        <f t="shared" ref="AO9:AO13" si="22">AO$7</f>
        <v xml:space="preserve">Er geldt een continue meetverplichting (art 4.79). </v>
      </c>
      <c r="AP9" s="325" t="str">
        <f t="shared" si="19"/>
        <v>De kwaliteitsborging van het continue meetsysteem vindt plaats volgen NEN-EN 14181 (art. 4.78). Onder de voorwaarden van art. 4.81 3e lid zijn halfjaarlijkse periodieke metingen door een geaccrediteerd laboratorium volgens NEN-EN 14792 toegestaan (art. 4.78 en 4.84).</v>
      </c>
      <c r="AQ9" s="325" t="str">
        <f t="shared" si="19"/>
        <v>De aangetoonde meetonzekerheid mag niet groter zijn dan 30% van de emissie-eis of 3 mg/Nm3 (art. 4.88).</v>
      </c>
      <c r="AR9" s="325" t="s">
        <v>451</v>
      </c>
      <c r="AS9" s="325"/>
      <c r="AT9" s="155"/>
      <c r="AU9" s="157"/>
      <c r="AV9" s="157"/>
      <c r="AW9" s="157"/>
      <c r="AX9" s="158"/>
    </row>
    <row r="10" spans="1:50" x14ac:dyDescent="0.2">
      <c r="A10" s="295"/>
      <c r="B10" s="339">
        <f t="shared" ca="1" si="13"/>
        <v>0</v>
      </c>
      <c r="C10" s="249">
        <f t="shared" ca="1" si="14"/>
        <v>0</v>
      </c>
      <c r="D10" s="246">
        <f ca="1">IF(AND(OR($Z10="",INGVAN="",$Z10&lt;=INGVAN),OR($Z10="",INGTOT="",$Z10&lt;=INGTOT),OR($AA10="",INGVAN="",$AA10&gt;=INGVAN),OR($AA10="",INGTOT="",$AA10&gt;=INGTOT)),1,0)</f>
        <v>1</v>
      </c>
      <c r="E10" s="247">
        <f t="shared" ca="1" si="15"/>
        <v>1</v>
      </c>
      <c r="F10" s="247">
        <f t="shared" ca="1" si="16"/>
        <v>1</v>
      </c>
      <c r="G10" s="147">
        <f ca="1">IF(SI=17,1,0)</f>
        <v>0</v>
      </c>
      <c r="H10" s="148"/>
      <c r="I10" s="147"/>
      <c r="J10" s="159"/>
      <c r="K10" s="148"/>
      <c r="L10" s="147">
        <f ca="1">IF(TBRAND1=3,1,0)</f>
        <v>0</v>
      </c>
      <c r="M10" s="248">
        <f t="shared" ca="1" si="20"/>
        <v>0</v>
      </c>
      <c r="N10" s="147">
        <f ca="1">IF(TBRAND2=3,1,0)</f>
        <v>0</v>
      </c>
      <c r="O10" s="249">
        <f t="shared" ca="1" si="21"/>
        <v>0</v>
      </c>
      <c r="P10" s="279" t="s">
        <v>39</v>
      </c>
      <c r="Q10" s="160" t="s">
        <v>128</v>
      </c>
      <c r="R10" s="149"/>
      <c r="S10" s="149"/>
      <c r="T10" s="149"/>
      <c r="U10" s="150"/>
      <c r="V10" s="150"/>
      <c r="W10" s="150"/>
      <c r="X10" s="150"/>
      <c r="Y10" s="151"/>
      <c r="Z10" s="143"/>
      <c r="AA10" s="144"/>
      <c r="AB10" s="143"/>
      <c r="AC10" s="145"/>
      <c r="AD10" s="146"/>
      <c r="AE10" s="276" t="s">
        <v>130</v>
      </c>
      <c r="AF10" s="152" t="s">
        <v>401</v>
      </c>
      <c r="AG10" s="147"/>
      <c r="AH10" s="636"/>
      <c r="AI10" s="645"/>
      <c r="AJ10" s="269"/>
      <c r="AK10" s="626"/>
      <c r="AL10" s="147"/>
      <c r="AM10" s="655"/>
      <c r="AN10" s="834"/>
      <c r="AO10" s="325" t="str">
        <f t="shared" si="22"/>
        <v xml:space="preserve">Er geldt een continue meetverplichting (art 4.79). </v>
      </c>
      <c r="AP10" s="325" t="str">
        <f t="shared" si="19"/>
        <v>De kwaliteitsborging van het continue meetsysteem vindt plaats volgen NEN-EN 14181 (art. 4.78). Onder de voorwaarden van art. 4.81 3e lid zijn halfjaarlijkse periodieke metingen door een geaccrediteerd laboratorium volgens NEN-EN 14792 toegestaan (art. 4.78 en 4.84).</v>
      </c>
      <c r="AQ10" s="325" t="str">
        <f t="shared" si="19"/>
        <v>De aangetoonde meetonzekerheid mag niet groter zijn dan 30% van de emissie-eis of 3 mg/Nm3 (art. 4.88).</v>
      </c>
      <c r="AR10"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25"/>
      <c r="AT10" s="155"/>
      <c r="AU10" s="157"/>
      <c r="AV10" s="157"/>
      <c r="AW10" s="157"/>
      <c r="AX10" s="151"/>
    </row>
    <row r="11" spans="1:50" x14ac:dyDescent="0.2">
      <c r="A11" s="295"/>
      <c r="B11" s="340"/>
      <c r="C11" s="341"/>
      <c r="D11" s="326"/>
      <c r="E11" s="46"/>
      <c r="F11" s="46"/>
      <c r="G11" s="147"/>
      <c r="H11" s="147"/>
      <c r="I11" s="148"/>
      <c r="J11" s="147"/>
      <c r="K11" s="148"/>
      <c r="L11" s="147"/>
      <c r="M11" s="56"/>
      <c r="N11" s="147"/>
      <c r="O11" s="59"/>
      <c r="P11" s="279"/>
      <c r="Q11" s="160"/>
      <c r="R11" s="149"/>
      <c r="S11" s="149"/>
      <c r="T11" s="149"/>
      <c r="U11" s="150"/>
      <c r="V11" s="150"/>
      <c r="W11" s="150"/>
      <c r="X11" s="150"/>
      <c r="Y11" s="151"/>
      <c r="Z11" s="143"/>
      <c r="AA11" s="144"/>
      <c r="AB11" s="143"/>
      <c r="AC11" s="145"/>
      <c r="AD11" s="146"/>
      <c r="AE11" s="276"/>
      <c r="AF11" s="152"/>
      <c r="AG11" s="147"/>
      <c r="AH11" s="636"/>
      <c r="AI11" s="645"/>
      <c r="AJ11" s="269"/>
      <c r="AK11" s="626"/>
      <c r="AL11" s="147"/>
      <c r="AM11" s="655"/>
      <c r="AN11" s="835"/>
      <c r="AO11" s="155"/>
      <c r="AP11" s="155"/>
      <c r="AQ11" s="155"/>
      <c r="AR11" s="155"/>
      <c r="AS11" s="149"/>
      <c r="AT11" s="155"/>
      <c r="AU11" s="157"/>
      <c r="AV11" s="157"/>
      <c r="AW11" s="157"/>
      <c r="AX11" s="151"/>
    </row>
    <row r="12" spans="1:50" x14ac:dyDescent="0.2">
      <c r="A12" s="363" t="s">
        <v>337</v>
      </c>
      <c r="B12" s="364"/>
      <c r="C12" s="365"/>
      <c r="D12" s="366"/>
      <c r="E12" s="367"/>
      <c r="F12" s="367"/>
      <c r="G12" s="368"/>
      <c r="H12" s="368"/>
      <c r="I12" s="369"/>
      <c r="J12" s="368"/>
      <c r="K12" s="369"/>
      <c r="L12" s="368"/>
      <c r="M12" s="370"/>
      <c r="N12" s="368"/>
      <c r="O12" s="371"/>
      <c r="P12" s="372"/>
      <c r="Q12" s="373"/>
      <c r="R12" s="374"/>
      <c r="S12" s="374"/>
      <c r="T12" s="374"/>
      <c r="U12" s="375"/>
      <c r="V12" s="375"/>
      <c r="W12" s="375"/>
      <c r="X12" s="375"/>
      <c r="Y12" s="376"/>
      <c r="Z12" s="377"/>
      <c r="AA12" s="378"/>
      <c r="AB12" s="377"/>
      <c r="AC12" s="379"/>
      <c r="AD12" s="380"/>
      <c r="AE12" s="381"/>
      <c r="AF12" s="382"/>
      <c r="AG12" s="368"/>
      <c r="AH12" s="637"/>
      <c r="AI12" s="646"/>
      <c r="AJ12" s="383"/>
      <c r="AK12" s="627"/>
      <c r="AL12" s="368"/>
      <c r="AM12" s="656"/>
      <c r="AN12" s="836"/>
      <c r="AO12" s="346" t="s">
        <v>243</v>
      </c>
      <c r="AP12" s="346" t="s">
        <v>244</v>
      </c>
      <c r="AQ12" s="346" t="s">
        <v>475</v>
      </c>
      <c r="AR12" s="346" t="s">
        <v>192</v>
      </c>
      <c r="AS12" s="346"/>
      <c r="AT12" s="336"/>
      <c r="AU12" s="337"/>
      <c r="AV12" s="337"/>
      <c r="AW12" s="337"/>
      <c r="AX12" s="335"/>
    </row>
    <row r="13" spans="1:50" x14ac:dyDescent="0.2">
      <c r="A13" s="296"/>
      <c r="B13" s="339">
        <f t="shared" ca="1" si="13"/>
        <v>0</v>
      </c>
      <c r="C13" s="249">
        <f t="shared" ca="1" si="14"/>
        <v>0</v>
      </c>
      <c r="D13" s="246">
        <f ca="1">IF(AND(OR($Z13="",INGVAN="",$Z13&lt;=INGVAN),OR($Z13="",INGTOT="",$Z13&lt;=INGTOT),OR($AA13="",INGVAN="",$AA13&gt;=INGVAN),OR($AA13="",INGTOT="",$AA13&gt;=INGTOT)),1,0)</f>
        <v>1</v>
      </c>
      <c r="E13" s="247">
        <f t="shared" ca="1" si="15"/>
        <v>0</v>
      </c>
      <c r="F13" s="247">
        <f t="shared" ca="1" si="16"/>
        <v>1</v>
      </c>
      <c r="G13" s="147">
        <f ca="1">IF(AND(SI&lt;&gt;17,OR(ParBAL1="4.4",ParBAL2="4.4")),1,0)</f>
        <v>0</v>
      </c>
      <c r="H13" s="147"/>
      <c r="I13" s="148"/>
      <c r="J13" s="147"/>
      <c r="K13" s="148"/>
      <c r="L13" s="147">
        <f ca="1">IF(OR(TBRAND1=3,AND(G13=1,N13=0)),1,0)</f>
        <v>0</v>
      </c>
      <c r="M13" s="248">
        <f t="shared" ref="M13" ca="1" si="23">IF(AND(ParBAL1&lt;&gt;"",ParBAL1=P13),1,0)</f>
        <v>0</v>
      </c>
      <c r="N13" s="147">
        <f ca="1">IF(TBRAND2=3,1,0)</f>
        <v>0</v>
      </c>
      <c r="O13" s="249">
        <f t="shared" ref="O13" ca="1" si="24">IF(AND(ParBAL2&lt;&gt;"",ParBAL2=P13),1,0)</f>
        <v>0</v>
      </c>
      <c r="P13" s="291" t="s">
        <v>39</v>
      </c>
      <c r="Q13" s="160" t="s">
        <v>267</v>
      </c>
      <c r="R13" s="149"/>
      <c r="S13" s="149"/>
      <c r="T13" s="149"/>
      <c r="U13" s="150"/>
      <c r="V13" s="150"/>
      <c r="W13" s="150"/>
      <c r="X13" s="150"/>
      <c r="Y13" s="151"/>
      <c r="Z13" s="143"/>
      <c r="AA13" s="144">
        <f>IWTBAL-1</f>
        <v>45291</v>
      </c>
      <c r="AB13" s="143"/>
      <c r="AC13" s="145">
        <v>45241</v>
      </c>
      <c r="AD13" s="146"/>
      <c r="AE13" s="276" t="s">
        <v>124</v>
      </c>
      <c r="AF13" s="152" t="s">
        <v>401</v>
      </c>
      <c r="AG13" s="147"/>
      <c r="AH13" s="636"/>
      <c r="AI13" s="645"/>
      <c r="AJ13" s="269"/>
      <c r="AK13" s="626"/>
      <c r="AL13" s="147"/>
      <c r="AM13" s="655"/>
      <c r="AN13" s="834"/>
      <c r="AO13" s="325" t="str">
        <f t="shared" si="22"/>
        <v xml:space="preserve">Er geldt een continue meetverplichting (art 4.79). </v>
      </c>
      <c r="AP13" s="325" t="str">
        <f t="shared" si="19"/>
        <v>De kwaliteitsborging van het continue meetsysteem vindt plaats volgen NEN-EN 14181 (art. 4.78). Onder de voorwaarden van art. 4.81 3e lid zijn halfjaarlijkse periodieke metingen door een geaccrediteerd laboratorium volgens NEN-EN 14792 toegestaan (art. 4.78 en 4.84).</v>
      </c>
      <c r="AQ13" s="325" t="str">
        <f t="shared" si="19"/>
        <v>De aangetoonde meetonzekerheid mag niet groter zijn dan 30% van de emissie-eis of 3 mg/Nm3 (art. 4.88).</v>
      </c>
      <c r="AR13"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25"/>
      <c r="AT13" s="155"/>
      <c r="AU13" s="157"/>
      <c r="AV13" s="157"/>
      <c r="AW13" s="157"/>
      <c r="AX13" s="151"/>
    </row>
    <row r="14" spans="1:50" x14ac:dyDescent="0.2">
      <c r="A14" s="584"/>
      <c r="B14" s="585"/>
      <c r="C14" s="586"/>
      <c r="D14" s="587"/>
      <c r="E14" s="588"/>
      <c r="F14" s="588"/>
      <c r="G14" s="589"/>
      <c r="H14" s="589"/>
      <c r="I14" s="590"/>
      <c r="J14" s="589"/>
      <c r="K14" s="590"/>
      <c r="L14" s="589"/>
      <c r="M14" s="591"/>
      <c r="N14" s="589"/>
      <c r="O14" s="592"/>
      <c r="P14" s="593"/>
      <c r="Q14" s="594"/>
      <c r="R14" s="595"/>
      <c r="S14" s="595"/>
      <c r="T14" s="595"/>
      <c r="U14" s="596"/>
      <c r="V14" s="596"/>
      <c r="W14" s="596"/>
      <c r="X14" s="596"/>
      <c r="Y14" s="597"/>
      <c r="Z14" s="598"/>
      <c r="AA14" s="599"/>
      <c r="AB14" s="598"/>
      <c r="AC14" s="600"/>
      <c r="AD14" s="601"/>
      <c r="AE14" s="602"/>
      <c r="AF14" s="603"/>
      <c r="AG14" s="589"/>
      <c r="AH14" s="638"/>
      <c r="AI14" s="647"/>
      <c r="AJ14" s="604"/>
      <c r="AK14" s="628"/>
      <c r="AL14" s="589"/>
      <c r="AM14" s="657"/>
      <c r="AN14" s="837"/>
      <c r="AO14" s="606"/>
      <c r="AP14" s="606"/>
      <c r="AQ14" s="606"/>
      <c r="AR14" s="606"/>
      <c r="AS14" s="595"/>
      <c r="AT14" s="606"/>
      <c r="AU14" s="607"/>
      <c r="AV14" s="607"/>
      <c r="AW14" s="607"/>
      <c r="AX14" s="597"/>
    </row>
    <row r="15" spans="1:50" x14ac:dyDescent="0.2">
      <c r="A15" s="393" t="s">
        <v>294</v>
      </c>
      <c r="B15" s="394"/>
      <c r="C15" s="395"/>
      <c r="D15" s="396"/>
      <c r="E15" s="397"/>
      <c r="F15" s="397"/>
      <c r="G15" s="398"/>
      <c r="H15" s="398"/>
      <c r="I15" s="399"/>
      <c r="J15" s="398"/>
      <c r="K15" s="399"/>
      <c r="L15" s="398"/>
      <c r="M15" s="400"/>
      <c r="N15" s="398"/>
      <c r="O15" s="401"/>
      <c r="P15" s="402"/>
      <c r="Q15" s="403"/>
      <c r="R15" s="404"/>
      <c r="S15" s="404"/>
      <c r="T15" s="404"/>
      <c r="U15" s="405"/>
      <c r="V15" s="405"/>
      <c r="W15" s="405"/>
      <c r="X15" s="405"/>
      <c r="Y15" s="406"/>
      <c r="Z15" s="407"/>
      <c r="AA15" s="408"/>
      <c r="AB15" s="407"/>
      <c r="AC15" s="409"/>
      <c r="AD15" s="410"/>
      <c r="AE15" s="411"/>
      <c r="AF15" s="412"/>
      <c r="AG15" s="398"/>
      <c r="AH15" s="639"/>
      <c r="AI15" s="648"/>
      <c r="AJ15" s="413"/>
      <c r="AK15" s="629"/>
      <c r="AL15" s="398"/>
      <c r="AM15" s="658"/>
      <c r="AN15" s="838"/>
      <c r="AO15" s="333" t="s">
        <v>426</v>
      </c>
      <c r="AP15" s="333" t="s">
        <v>427</v>
      </c>
      <c r="AQ15" s="333"/>
      <c r="AR15" s="333" t="s">
        <v>410</v>
      </c>
      <c r="AS15" s="333"/>
      <c r="AT15" s="330"/>
      <c r="AU15" s="331"/>
      <c r="AV15" s="331"/>
      <c r="AW15" s="331"/>
      <c r="AX15" s="328"/>
    </row>
    <row r="16" spans="1:50" x14ac:dyDescent="0.2">
      <c r="A16" s="295"/>
      <c r="B16" s="339">
        <f t="shared" ref="B16:B17" ca="1" si="25">IF(AND(SUM(D16:K16,L16:M16)=COUNT(D16:K16,L16:M16),COUNT(D16:K16,L16:M16)&gt;0),ROW(B16),0)</f>
        <v>0</v>
      </c>
      <c r="C16" s="249">
        <f t="shared" ref="C16:C17" ca="1" si="26">IF(AND(SUM(D16:K16,N16:O16)=COUNT(D16:K16,N16:O16),COUNT(D16:K16,N16:O16)&gt;0),ROW(B16),0)</f>
        <v>0</v>
      </c>
      <c r="D16" s="246">
        <f t="shared" ref="D16:D17" ca="1" si="27">IF(AND(OR($Z16="",INGVAN="",$Z16&lt;=INGVAN),OR($Z16="",INGTOT="",$Z16&lt;=INGTOT),OR($AA16="",INGVAN="",$AA16&gt;=INGVAN),OR($AA16="",INGTOT="",$AA16&gt;=INGTOT)),1,0)</f>
        <v>0</v>
      </c>
      <c r="E16" s="247">
        <f t="shared" ca="1" si="15"/>
        <v>1</v>
      </c>
      <c r="F16" s="247">
        <f t="shared" ca="1" si="16"/>
        <v>1</v>
      </c>
      <c r="G16" s="147">
        <f ca="1">IF(AND(SI&lt;=2),1,0)</f>
        <v>1</v>
      </c>
      <c r="H16" s="147"/>
      <c r="I16" s="148"/>
      <c r="J16" s="147"/>
      <c r="K16" s="148"/>
      <c r="L16" s="147">
        <f ca="1">IF(BRAND1=19,1,0)</f>
        <v>0</v>
      </c>
      <c r="M16" s="248">
        <f t="shared" ca="1" si="20"/>
        <v>0</v>
      </c>
      <c r="N16" s="147">
        <f ca="1">IF(BRAND2=19,1,0)</f>
        <v>0</v>
      </c>
      <c r="O16" s="249">
        <f t="shared" ca="1" si="21"/>
        <v>0</v>
      </c>
      <c r="P16" s="279" t="s">
        <v>40</v>
      </c>
      <c r="Q16" s="149" t="s">
        <v>407</v>
      </c>
      <c r="R16" s="149" t="s">
        <v>170</v>
      </c>
      <c r="S16" s="149"/>
      <c r="T16" s="149"/>
      <c r="U16" s="150"/>
      <c r="V16" s="150"/>
      <c r="W16" s="150"/>
      <c r="X16" s="150"/>
      <c r="Y16" s="151"/>
      <c r="Z16" s="143"/>
      <c r="AA16" s="144">
        <f>IPPCbest</f>
        <v>36463</v>
      </c>
      <c r="AB16" s="143"/>
      <c r="AC16" s="145"/>
      <c r="AD16" s="146"/>
      <c r="AE16" s="276" t="s">
        <v>409</v>
      </c>
      <c r="AF16" s="152" t="s">
        <v>408</v>
      </c>
      <c r="AG16" s="147"/>
      <c r="AH16" s="636"/>
      <c r="AI16" s="645"/>
      <c r="AJ16" s="269"/>
      <c r="AK16" s="626"/>
      <c r="AL16" s="147"/>
      <c r="AM16" s="655"/>
      <c r="AN16" s="839"/>
      <c r="AO16" s="348" t="str">
        <f t="shared" ref="AO16:AO17" si="28">AO$15</f>
        <v>Er geldt een periodiek meetverplichting van eens per jaar (art 4.41a).</v>
      </c>
      <c r="AP16" s="325" t="str">
        <f t="shared" ref="AP16:AR17" si="29">AP$15</f>
        <v xml:space="preserve">Een periodieke meting bestaat uit drie deelmetingen van ten minste 30 minuten. De metingen worden uitgevoerd door een geaccrediteerd laboratorium volgens NEN-EN 12619 (art. 4.40 en 4.48). </v>
      </c>
      <c r="AQ16" s="325"/>
      <c r="AR16" s="325" t="str">
        <f t="shared" si="29"/>
        <v>De installatie voldoet aan de gestelde emissie-eis als alle gevalideerde meetresultaten van de deelmetingen lager zijn dan de emissie-eis (art. 4.44). Een gevalideerd meetresultaat is het meetresultaat nadat de aangetoonde meetonzekerheid in mindering is gebracht.</v>
      </c>
      <c r="AS16" s="348"/>
      <c r="AT16" s="149"/>
      <c r="AU16" s="150"/>
      <c r="AV16" s="150"/>
      <c r="AW16" s="150"/>
      <c r="AX16" s="151"/>
    </row>
    <row r="17" spans="1:50" x14ac:dyDescent="0.2">
      <c r="A17" s="295"/>
      <c r="B17" s="339">
        <f t="shared" ca="1" si="25"/>
        <v>0</v>
      </c>
      <c r="C17" s="249">
        <f t="shared" ca="1" si="26"/>
        <v>0</v>
      </c>
      <c r="D17" s="246">
        <f t="shared" ca="1" si="27"/>
        <v>1</v>
      </c>
      <c r="E17" s="247">
        <f t="shared" ca="1" si="15"/>
        <v>1</v>
      </c>
      <c r="F17" s="247">
        <f t="shared" ca="1" si="16"/>
        <v>1</v>
      </c>
      <c r="G17" s="147">
        <f ca="1">IF(SI=4,1,0)</f>
        <v>0</v>
      </c>
      <c r="H17" s="147"/>
      <c r="I17" s="148"/>
      <c r="J17" s="147"/>
      <c r="K17" s="148"/>
      <c r="L17" s="802">
        <f ca="1">IF(BRAND1=1,1,0)</f>
        <v>1</v>
      </c>
      <c r="M17" s="248">
        <f t="shared" ref="M17" ca="1" si="30">IF(AND(ParBAL1&lt;&gt;"",ParBAL1=P17),1,0)</f>
        <v>0</v>
      </c>
      <c r="N17" s="802">
        <f ca="1">IF(BRAND2=1,1,0)</f>
        <v>0</v>
      </c>
      <c r="O17" s="249">
        <f t="shared" ca="1" si="21"/>
        <v>0</v>
      </c>
      <c r="P17" s="279" t="s">
        <v>40</v>
      </c>
      <c r="Q17" s="149" t="s">
        <v>188</v>
      </c>
      <c r="R17" s="149" t="s">
        <v>180</v>
      </c>
      <c r="S17" s="149"/>
      <c r="T17" s="149"/>
      <c r="U17" s="150"/>
      <c r="V17" s="150"/>
      <c r="W17" s="150"/>
      <c r="X17" s="150"/>
      <c r="Y17" s="151"/>
      <c r="Z17" s="143"/>
      <c r="AA17" s="144"/>
      <c r="AB17" s="143"/>
      <c r="AC17" s="145"/>
      <c r="AD17" s="146"/>
      <c r="AE17" s="276" t="s">
        <v>409</v>
      </c>
      <c r="AF17" s="152" t="s">
        <v>129</v>
      </c>
      <c r="AG17" s="147"/>
      <c r="AH17" s="636"/>
      <c r="AI17" s="645"/>
      <c r="AJ17" s="269"/>
      <c r="AK17" s="626"/>
      <c r="AL17" s="147"/>
      <c r="AM17" s="655"/>
      <c r="AN17" s="834"/>
      <c r="AO17" s="325" t="str">
        <f t="shared" si="28"/>
        <v>Er geldt een periodiek meetverplichting van eens per jaar (art 4.41a).</v>
      </c>
      <c r="AP17" s="325" t="str">
        <f t="shared" si="29"/>
        <v xml:space="preserve">Een periodieke meting bestaat uit drie deelmetingen van ten minste 30 minuten. De metingen worden uitgevoerd door een geaccrediteerd laboratorium volgens NEN-EN 12619 (art. 4.40 en 4.48). </v>
      </c>
      <c r="AQ17" s="325"/>
      <c r="AR17" s="325" t="str">
        <f t="shared" si="29"/>
        <v>De installatie voldoet aan de gestelde emissie-eis als alle gevalideerde meetresultaten van de deelmetingen lager zijn dan de emissie-eis (art. 4.44). Een gevalideerd meetresultaat is het meetresultaat nadat de aangetoonde meetonzekerheid in mindering is gebracht.</v>
      </c>
      <c r="AS17" s="325"/>
      <c r="AT17" s="149"/>
      <c r="AU17" s="150"/>
      <c r="AV17" s="150"/>
      <c r="AW17" s="150"/>
      <c r="AX17" s="158"/>
    </row>
    <row r="18" spans="1:50" x14ac:dyDescent="0.2">
      <c r="A18" s="295"/>
      <c r="B18" s="340"/>
      <c r="C18" s="341"/>
      <c r="D18" s="326"/>
      <c r="E18" s="46"/>
      <c r="F18" s="46"/>
      <c r="G18" s="147"/>
      <c r="H18" s="147"/>
      <c r="I18" s="148"/>
      <c r="J18" s="147"/>
      <c r="K18" s="148"/>
      <c r="L18" s="147"/>
      <c r="M18" s="56"/>
      <c r="N18" s="147"/>
      <c r="O18" s="59"/>
      <c r="P18" s="279"/>
      <c r="Q18" s="160"/>
      <c r="R18" s="149"/>
      <c r="S18" s="149"/>
      <c r="T18" s="149"/>
      <c r="U18" s="150"/>
      <c r="V18" s="150"/>
      <c r="W18" s="150"/>
      <c r="X18" s="150"/>
      <c r="Y18" s="151"/>
      <c r="Z18" s="143"/>
      <c r="AA18" s="144"/>
      <c r="AB18" s="143"/>
      <c r="AC18" s="145"/>
      <c r="AD18" s="146"/>
      <c r="AE18" s="276"/>
      <c r="AF18" s="152"/>
      <c r="AG18" s="147"/>
      <c r="AH18" s="636"/>
      <c r="AI18" s="645"/>
      <c r="AJ18" s="269"/>
      <c r="AK18" s="626"/>
      <c r="AL18" s="147"/>
      <c r="AM18" s="655"/>
      <c r="AN18" s="852"/>
      <c r="AO18" s="684"/>
      <c r="AP18" s="684"/>
      <c r="AQ18" s="684"/>
      <c r="AR18" s="684"/>
      <c r="AS18" s="149"/>
      <c r="AT18" s="155"/>
      <c r="AU18" s="157"/>
      <c r="AV18" s="157"/>
      <c r="AW18" s="157"/>
      <c r="AX18" s="151"/>
    </row>
    <row r="19" spans="1:50" x14ac:dyDescent="0.2">
      <c r="A19" s="363" t="s">
        <v>338</v>
      </c>
      <c r="B19" s="364"/>
      <c r="C19" s="365"/>
      <c r="D19" s="366"/>
      <c r="E19" s="367"/>
      <c r="F19" s="367"/>
      <c r="G19" s="368"/>
      <c r="H19" s="368"/>
      <c r="I19" s="369"/>
      <c r="J19" s="368"/>
      <c r="K19" s="369"/>
      <c r="L19" s="368"/>
      <c r="M19" s="370"/>
      <c r="N19" s="368"/>
      <c r="O19" s="371"/>
      <c r="P19" s="372"/>
      <c r="Q19" s="373"/>
      <c r="R19" s="374"/>
      <c r="S19" s="374"/>
      <c r="T19" s="374"/>
      <c r="U19" s="375"/>
      <c r="V19" s="375"/>
      <c r="W19" s="375"/>
      <c r="X19" s="375"/>
      <c r="Y19" s="376"/>
      <c r="Z19" s="377"/>
      <c r="AA19" s="378"/>
      <c r="AB19" s="377"/>
      <c r="AC19" s="379"/>
      <c r="AD19" s="380"/>
      <c r="AE19" s="381"/>
      <c r="AF19" s="382"/>
      <c r="AG19" s="368"/>
      <c r="AH19" s="637"/>
      <c r="AI19" s="646"/>
      <c r="AJ19" s="383"/>
      <c r="AK19" s="627"/>
      <c r="AL19" s="368"/>
      <c r="AM19" s="656"/>
      <c r="AN19" s="838"/>
      <c r="AO19" s="333" t="s">
        <v>426</v>
      </c>
      <c r="AP19" s="333" t="s">
        <v>427</v>
      </c>
      <c r="AQ19" s="333"/>
      <c r="AR19" s="333" t="s">
        <v>410</v>
      </c>
      <c r="AS19" s="346"/>
      <c r="AT19" s="336"/>
      <c r="AU19" s="337"/>
      <c r="AV19" s="337"/>
      <c r="AW19" s="337"/>
      <c r="AX19" s="335"/>
    </row>
    <row r="20" spans="1:50" x14ac:dyDescent="0.2">
      <c r="A20" s="584"/>
      <c r="B20" s="585"/>
      <c r="C20" s="586"/>
      <c r="D20" s="587"/>
      <c r="E20" s="588"/>
      <c r="F20" s="588"/>
      <c r="G20" s="589"/>
      <c r="H20" s="589"/>
      <c r="I20" s="590"/>
      <c r="J20" s="589"/>
      <c r="K20" s="590"/>
      <c r="L20" s="589"/>
      <c r="M20" s="591"/>
      <c r="N20" s="589"/>
      <c r="O20" s="592"/>
      <c r="P20" s="593"/>
      <c r="Q20" s="594"/>
      <c r="R20" s="595"/>
      <c r="S20" s="595"/>
      <c r="T20" s="595"/>
      <c r="U20" s="596"/>
      <c r="V20" s="596"/>
      <c r="W20" s="596"/>
      <c r="X20" s="596"/>
      <c r="Y20" s="597"/>
      <c r="Z20" s="598"/>
      <c r="AA20" s="599"/>
      <c r="AB20" s="598"/>
      <c r="AC20" s="600"/>
      <c r="AD20" s="601"/>
      <c r="AE20" s="602"/>
      <c r="AF20" s="603"/>
      <c r="AG20" s="589"/>
      <c r="AH20" s="638"/>
      <c r="AI20" s="647"/>
      <c r="AJ20" s="604"/>
      <c r="AK20" s="628"/>
      <c r="AL20" s="589"/>
      <c r="AM20" s="657"/>
      <c r="AN20" s="837"/>
      <c r="AO20" s="606"/>
      <c r="AP20" s="606"/>
      <c r="AQ20" s="606"/>
      <c r="AR20" s="606"/>
      <c r="AS20" s="595"/>
      <c r="AT20" s="606"/>
      <c r="AU20" s="607"/>
      <c r="AV20" s="607"/>
      <c r="AW20" s="607"/>
      <c r="AX20" s="597"/>
    </row>
    <row r="21" spans="1:50" x14ac:dyDescent="0.2">
      <c r="A21" s="393" t="s">
        <v>293</v>
      </c>
      <c r="B21" s="394"/>
      <c r="C21" s="395"/>
      <c r="D21" s="396"/>
      <c r="E21" s="397"/>
      <c r="F21" s="397"/>
      <c r="G21" s="398"/>
      <c r="H21" s="398"/>
      <c r="I21" s="399"/>
      <c r="J21" s="398"/>
      <c r="K21" s="399"/>
      <c r="L21" s="398"/>
      <c r="M21" s="400"/>
      <c r="N21" s="398"/>
      <c r="O21" s="401"/>
      <c r="P21" s="402"/>
      <c r="Q21" s="403"/>
      <c r="R21" s="404"/>
      <c r="S21" s="404"/>
      <c r="T21" s="404"/>
      <c r="U21" s="405"/>
      <c r="V21" s="405"/>
      <c r="W21" s="405"/>
      <c r="X21" s="405"/>
      <c r="Y21" s="406"/>
      <c r="Z21" s="407"/>
      <c r="AA21" s="408"/>
      <c r="AB21" s="407"/>
      <c r="AC21" s="409"/>
      <c r="AD21" s="410"/>
      <c r="AE21" s="411"/>
      <c r="AF21" s="412"/>
      <c r="AG21" s="398"/>
      <c r="AH21" s="639"/>
      <c r="AI21" s="648"/>
      <c r="AJ21" s="413"/>
      <c r="AK21" s="629"/>
      <c r="AL21" s="398"/>
      <c r="AM21" s="658"/>
      <c r="AN21" s="838"/>
      <c r="AO21" s="333" t="str">
        <f ca="1">CONCATENATE("Bij van toepassing worden van een emissie-eis wordt een periodieke meting uitgevoerd",IF(OR(MW&lt;1,Offshore),IF(TSI&lt;0," en vervolgens vierjaarlijks",""),IF(MW&gt;20," en vervolgens jaarlijks"," en vervolgens driejaarlijks"))," (art. 4.1314). ",IF(Tdatum&gt;IWTMCPbest,"",CONCATENATE("Tot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v>
      </c>
      <c r="AP21" s="333" t="s">
        <v>406</v>
      </c>
      <c r="AQ21" s="333" t="s">
        <v>246</v>
      </c>
      <c r="AR21" s="333" t="s">
        <v>247</v>
      </c>
      <c r="AS21" s="327"/>
      <c r="AT21" s="330"/>
      <c r="AU21" s="331"/>
      <c r="AV21" s="331"/>
      <c r="AW21" s="331"/>
      <c r="AX21" s="328"/>
    </row>
    <row r="22" spans="1:50" x14ac:dyDescent="0.2">
      <c r="A22" s="295"/>
      <c r="B22" s="339">
        <f t="shared" ref="B22" ca="1" si="31">IF(AND(SUM(D22:K22,L22:M22)=COUNT(D22:K22,L22:M22),COUNT(D22:K22,L22:M22)&gt;0),ROW(B22),0)</f>
        <v>0</v>
      </c>
      <c r="C22" s="249">
        <f t="shared" ref="C22" ca="1" si="32">IF(AND(SUM(D22:K22,N22:O22)=COUNT(D22:K22,N22:O22),COUNT(D22:K22,N22:O22)&gt;0),ROW(B22),0)</f>
        <v>0</v>
      </c>
      <c r="D22" s="246">
        <f t="shared" ref="D22" ca="1" si="33">IF(AND(OR($Z22="",INGVAN="",$Z22&lt;=INGVAN),OR($Z22="",INGTOT="",$Z22&lt;=INGTOT),OR($AA22="",INGVAN="",$AA22&gt;=INGVAN),OR($AA22="",INGTOT="",$AA22&gt;=INGTOT)),1,0)</f>
        <v>1</v>
      </c>
      <c r="E22" s="247">
        <f t="shared" ref="E22" ca="1" si="34">IF(AND(OR($AB22="",Tdatum&gt;=$AB22,AND(AB22&lt;&gt;"",ISNUMBER(FIND("j",LOWER(AD22))))),OR($AC22="",Tdatum&lt;=$AC22)),1,0)</f>
        <v>1</v>
      </c>
      <c r="F22" s="247">
        <f t="shared" ca="1" si="16"/>
        <v>1</v>
      </c>
      <c r="G22" s="147">
        <f ca="1">IF(SI=4,1,0)</f>
        <v>0</v>
      </c>
      <c r="H22" s="147"/>
      <c r="I22" s="148"/>
      <c r="J22" s="147"/>
      <c r="K22" s="148"/>
      <c r="L22" s="802">
        <f ca="1">IF(AND(BRAND2&lt;&gt;3,BRAND1&lt;&gt;3,FBRAND1="g"),1,0)</f>
        <v>1</v>
      </c>
      <c r="M22" s="248">
        <f t="shared" ref="M22" ca="1" si="35">IF(AND(ParBAL1&lt;&gt;"",ParBAL1=P22),1,0)</f>
        <v>1</v>
      </c>
      <c r="N22" s="802">
        <f ca="1">IF(AND(BRAND2&lt;&gt;2,BRAND2&lt;&gt;3,FBRAND2="g"),1,0)</f>
        <v>0</v>
      </c>
      <c r="O22" s="249">
        <f t="shared" ref="O22" ca="1" si="36">IF(AND(ParBAL2&lt;&gt;"",ParBAL2=P22),1,0)</f>
        <v>0</v>
      </c>
      <c r="P22" s="44" t="s">
        <v>106</v>
      </c>
      <c r="Q22" s="149" t="s">
        <v>188</v>
      </c>
      <c r="R22" s="149" t="s">
        <v>525</v>
      </c>
      <c r="S22" s="149">
        <v>2.5</v>
      </c>
      <c r="T22" s="149"/>
      <c r="U22" s="150"/>
      <c r="V22" s="150"/>
      <c r="W22" s="150"/>
      <c r="X22" s="150"/>
      <c r="Y22" s="151"/>
      <c r="Z22" s="143"/>
      <c r="AA22" s="144"/>
      <c r="AB22" s="143"/>
      <c r="AC22" s="145"/>
      <c r="AD22" s="146"/>
      <c r="AE22" s="276" t="s">
        <v>224</v>
      </c>
      <c r="AF22" s="152" t="s">
        <v>129</v>
      </c>
      <c r="AG22" s="147"/>
      <c r="AH22" s="636"/>
      <c r="AI22" s="645"/>
      <c r="AJ22" s="269"/>
      <c r="AK22" s="626"/>
      <c r="AL22" s="147"/>
      <c r="AM22" s="655"/>
      <c r="AN22" s="834"/>
      <c r="AO22" s="325" t="str">
        <f ca="1">IF($AF22="","",AO$21)</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v>
      </c>
      <c r="AP22" s="324" t="str">
        <f>IF($AF22="","",AP$21)</f>
        <v xml:space="preserve">Een periodieke meting bestaat uit drie deelmetingen van 15-30 minuten. De metingen mogen worden uitgevoerd door een geaccrediteerd laboratorium volgens NEN-EN 12619 of door een SCIOS gecertificeerd bedrijf volgens scope 6 (art. 4.1312). </v>
      </c>
      <c r="AQ22" s="324" t="str">
        <f>IF($AF22="","",AQ$21)</f>
        <v>De aangetoonde meetonzekerheid mag niet groter zijn dan 20% van de emissie-eis (art. 4.1312 en art. 4.1319).</v>
      </c>
      <c r="AR22" s="324" t="str">
        <f>IF($AF22="","",AR$21)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2" s="149"/>
      <c r="AT22" s="149"/>
      <c r="AU22" s="150"/>
      <c r="AV22" s="150"/>
      <c r="AW22" s="150"/>
      <c r="AX22" s="151"/>
    </row>
    <row r="23" spans="1:50" x14ac:dyDescent="0.2">
      <c r="A23" s="295"/>
      <c r="B23" s="340"/>
      <c r="C23" s="341"/>
      <c r="D23" s="326"/>
      <c r="E23" s="46"/>
      <c r="F23" s="46"/>
      <c r="G23" s="147"/>
      <c r="H23" s="147"/>
      <c r="I23" s="148"/>
      <c r="J23" s="147"/>
      <c r="K23" s="148"/>
      <c r="L23" s="147"/>
      <c r="M23" s="56"/>
      <c r="N23" s="147"/>
      <c r="O23" s="59"/>
      <c r="P23" s="279"/>
      <c r="Q23" s="160"/>
      <c r="R23" s="149"/>
      <c r="S23" s="149"/>
      <c r="T23" s="149"/>
      <c r="U23" s="150"/>
      <c r="V23" s="150"/>
      <c r="W23" s="150"/>
      <c r="X23" s="150"/>
      <c r="Y23" s="151"/>
      <c r="Z23" s="143"/>
      <c r="AA23" s="144"/>
      <c r="AB23" s="143"/>
      <c r="AC23" s="145"/>
      <c r="AD23" s="146"/>
      <c r="AE23" s="276"/>
      <c r="AF23" s="152"/>
      <c r="AG23" s="147"/>
      <c r="AH23" s="636"/>
      <c r="AI23" s="645"/>
      <c r="AJ23" s="269"/>
      <c r="AK23" s="626"/>
      <c r="AL23" s="147"/>
      <c r="AM23" s="636"/>
      <c r="AN23" s="842"/>
      <c r="AO23" s="684"/>
      <c r="AP23" s="684"/>
      <c r="AQ23" s="684"/>
      <c r="AR23" s="684"/>
      <c r="AS23" s="149"/>
      <c r="AT23" s="155"/>
      <c r="AU23" s="157"/>
      <c r="AV23" s="157"/>
      <c r="AW23" s="157"/>
      <c r="AX23" s="151"/>
    </row>
    <row r="24" spans="1:50" x14ac:dyDescent="0.2">
      <c r="A24" s="363" t="s">
        <v>339</v>
      </c>
      <c r="B24" s="364"/>
      <c r="C24" s="365"/>
      <c r="D24" s="366"/>
      <c r="E24" s="367"/>
      <c r="F24" s="367"/>
      <c r="G24" s="368"/>
      <c r="H24" s="368"/>
      <c r="I24" s="369"/>
      <c r="J24" s="368"/>
      <c r="K24" s="369"/>
      <c r="L24" s="368"/>
      <c r="M24" s="370"/>
      <c r="N24" s="368"/>
      <c r="O24" s="371"/>
      <c r="P24" s="372"/>
      <c r="Q24" s="373"/>
      <c r="R24" s="374"/>
      <c r="S24" s="374"/>
      <c r="T24" s="374"/>
      <c r="U24" s="375"/>
      <c r="V24" s="375"/>
      <c r="W24" s="375"/>
      <c r="X24" s="375"/>
      <c r="Y24" s="376"/>
      <c r="Z24" s="377"/>
      <c r="AA24" s="378"/>
      <c r="AB24" s="377"/>
      <c r="AC24" s="379"/>
      <c r="AD24" s="380"/>
      <c r="AE24" s="381"/>
      <c r="AF24" s="382"/>
      <c r="AG24" s="368"/>
      <c r="AH24" s="637"/>
      <c r="AI24" s="646"/>
      <c r="AJ24" s="383"/>
      <c r="AK24" s="627"/>
      <c r="AL24" s="368"/>
      <c r="AM24" s="637"/>
      <c r="AN24" s="843"/>
      <c r="AO24" s="346"/>
      <c r="AP24" s="346"/>
      <c r="AQ24" s="346"/>
      <c r="AR24" s="346"/>
      <c r="AS24" s="346"/>
      <c r="AT24" s="336"/>
      <c r="AU24" s="337"/>
      <c r="AV24" s="337"/>
      <c r="AW24" s="337"/>
      <c r="AX24" s="335"/>
    </row>
    <row r="25" spans="1:50" x14ac:dyDescent="0.2">
      <c r="A25" s="584"/>
      <c r="B25" s="585"/>
      <c r="C25" s="586"/>
      <c r="D25" s="587"/>
      <c r="E25" s="588"/>
      <c r="F25" s="588"/>
      <c r="G25" s="589"/>
      <c r="H25" s="589"/>
      <c r="I25" s="590"/>
      <c r="J25" s="589"/>
      <c r="K25" s="590"/>
      <c r="L25" s="589"/>
      <c r="M25" s="591"/>
      <c r="N25" s="589"/>
      <c r="O25" s="592"/>
      <c r="P25" s="593"/>
      <c r="Q25" s="594"/>
      <c r="R25" s="595"/>
      <c r="S25" s="595"/>
      <c r="T25" s="595"/>
      <c r="U25" s="596"/>
      <c r="V25" s="596"/>
      <c r="W25" s="596"/>
      <c r="X25" s="596"/>
      <c r="Y25" s="597"/>
      <c r="Z25" s="598"/>
      <c r="AA25" s="599"/>
      <c r="AB25" s="598"/>
      <c r="AC25" s="600"/>
      <c r="AD25" s="601"/>
      <c r="AE25" s="602"/>
      <c r="AF25" s="603"/>
      <c r="AG25" s="589"/>
      <c r="AH25" s="638"/>
      <c r="AI25" s="647"/>
      <c r="AJ25" s="604"/>
      <c r="AK25" s="628"/>
      <c r="AL25" s="589"/>
      <c r="AM25" s="657"/>
      <c r="AN25" s="837"/>
      <c r="AO25" s="606"/>
      <c r="AP25" s="606"/>
      <c r="AQ25" s="606"/>
      <c r="AR25" s="606"/>
      <c r="AS25" s="595"/>
      <c r="AT25" s="606"/>
      <c r="AU25" s="607"/>
      <c r="AV25" s="607"/>
      <c r="AW25" s="607"/>
      <c r="AX25" s="597"/>
    </row>
    <row r="26" spans="1:50" x14ac:dyDescent="0.2">
      <c r="A26" s="393" t="s">
        <v>292</v>
      </c>
      <c r="B26" s="394"/>
      <c r="C26" s="395"/>
      <c r="D26" s="396"/>
      <c r="E26" s="397"/>
      <c r="F26" s="397"/>
      <c r="G26" s="398"/>
      <c r="H26" s="398"/>
      <c r="I26" s="399"/>
      <c r="J26" s="398"/>
      <c r="K26" s="399"/>
      <c r="L26" s="398"/>
      <c r="M26" s="400"/>
      <c r="N26" s="398"/>
      <c r="O26" s="401"/>
      <c r="P26" s="402"/>
      <c r="Q26" s="403"/>
      <c r="R26" s="404"/>
      <c r="S26" s="404"/>
      <c r="T26" s="404"/>
      <c r="U26" s="405"/>
      <c r="V26" s="405"/>
      <c r="W26" s="405"/>
      <c r="X26" s="405"/>
      <c r="Y26" s="406"/>
      <c r="Z26" s="407"/>
      <c r="AA26" s="408"/>
      <c r="AB26" s="407"/>
      <c r="AC26" s="409"/>
      <c r="AD26" s="410"/>
      <c r="AE26" s="411"/>
      <c r="AF26" s="412"/>
      <c r="AG26" s="398"/>
      <c r="AH26" s="639"/>
      <c r="AI26" s="648"/>
      <c r="AJ26" s="413"/>
      <c r="AK26" s="629"/>
      <c r="AL26" s="398"/>
      <c r="AM26" s="658"/>
      <c r="AN26" s="838"/>
      <c r="AO26" s="333"/>
      <c r="AP26" s="333"/>
      <c r="AQ26" s="333"/>
      <c r="AR26" s="333"/>
      <c r="AS26" s="327"/>
      <c r="AT26" s="330"/>
      <c r="AU26" s="331"/>
      <c r="AV26" s="331"/>
      <c r="AW26" s="331"/>
      <c r="AX26" s="328"/>
    </row>
    <row r="27" spans="1:50" x14ac:dyDescent="0.2">
      <c r="A27" s="295"/>
      <c r="B27" s="340"/>
      <c r="C27" s="341"/>
      <c r="D27" s="326"/>
      <c r="E27" s="46"/>
      <c r="F27" s="46"/>
      <c r="G27" s="147"/>
      <c r="H27" s="147"/>
      <c r="I27" s="148"/>
      <c r="J27" s="147"/>
      <c r="K27" s="148"/>
      <c r="L27" s="147"/>
      <c r="M27" s="56"/>
      <c r="N27" s="147"/>
      <c r="O27" s="59"/>
      <c r="P27" s="279"/>
      <c r="Q27" s="160"/>
      <c r="R27" s="149"/>
      <c r="S27" s="149"/>
      <c r="T27" s="149"/>
      <c r="U27" s="150"/>
      <c r="V27" s="150"/>
      <c r="W27" s="150"/>
      <c r="X27" s="150"/>
      <c r="Y27" s="151"/>
      <c r="Z27" s="143"/>
      <c r="AA27" s="144"/>
      <c r="AB27" s="143"/>
      <c r="AC27" s="145"/>
      <c r="AD27" s="146"/>
      <c r="AE27" s="276"/>
      <c r="AF27" s="152"/>
      <c r="AG27" s="147"/>
      <c r="AH27" s="636"/>
      <c r="AI27" s="645"/>
      <c r="AJ27" s="269"/>
      <c r="AK27" s="626"/>
      <c r="AL27" s="147"/>
      <c r="AM27" s="655"/>
      <c r="AN27" s="835"/>
      <c r="AO27" s="155"/>
      <c r="AP27" s="155"/>
      <c r="AQ27" s="155"/>
      <c r="AR27" s="155"/>
      <c r="AS27" s="149"/>
      <c r="AT27" s="155"/>
      <c r="AU27" s="157"/>
      <c r="AV27" s="157"/>
      <c r="AW27" s="157"/>
      <c r="AX27" s="151"/>
    </row>
    <row r="28" spans="1:50" x14ac:dyDescent="0.2">
      <c r="A28" s="363" t="s">
        <v>340</v>
      </c>
      <c r="B28" s="364"/>
      <c r="C28" s="365"/>
      <c r="D28" s="366"/>
      <c r="E28" s="367"/>
      <c r="F28" s="367"/>
      <c r="G28" s="368"/>
      <c r="H28" s="368"/>
      <c r="I28" s="369"/>
      <c r="J28" s="368"/>
      <c r="K28" s="369"/>
      <c r="L28" s="368"/>
      <c r="M28" s="370"/>
      <c r="N28" s="368"/>
      <c r="O28" s="371"/>
      <c r="P28" s="372"/>
      <c r="Q28" s="373"/>
      <c r="R28" s="374"/>
      <c r="S28" s="374"/>
      <c r="T28" s="374"/>
      <c r="U28" s="375"/>
      <c r="V28" s="375"/>
      <c r="W28" s="375"/>
      <c r="X28" s="375"/>
      <c r="Y28" s="376"/>
      <c r="Z28" s="377"/>
      <c r="AA28" s="378"/>
      <c r="AB28" s="377"/>
      <c r="AC28" s="379"/>
      <c r="AD28" s="380"/>
      <c r="AE28" s="381"/>
      <c r="AF28" s="382"/>
      <c r="AG28" s="368"/>
      <c r="AH28" s="637"/>
      <c r="AI28" s="646"/>
      <c r="AJ28" s="383"/>
      <c r="AK28" s="627"/>
      <c r="AL28" s="368"/>
      <c r="AM28" s="656"/>
      <c r="AN28" s="836"/>
      <c r="AO28" s="346"/>
      <c r="AP28" s="346"/>
      <c r="AQ28" s="346"/>
      <c r="AR28" s="346"/>
      <c r="AS28" s="346"/>
      <c r="AT28" s="336"/>
      <c r="AU28" s="337"/>
      <c r="AV28" s="337"/>
      <c r="AW28" s="337"/>
      <c r="AX28" s="335"/>
    </row>
    <row r="29" spans="1:50" x14ac:dyDescent="0.2">
      <c r="A29" s="584"/>
      <c r="B29" s="585"/>
      <c r="C29" s="586"/>
      <c r="D29" s="587"/>
      <c r="E29" s="588"/>
      <c r="F29" s="588"/>
      <c r="G29" s="589"/>
      <c r="H29" s="589"/>
      <c r="I29" s="590"/>
      <c r="J29" s="589"/>
      <c r="K29" s="590"/>
      <c r="L29" s="589"/>
      <c r="M29" s="591"/>
      <c r="N29" s="589"/>
      <c r="O29" s="592"/>
      <c r="P29" s="593"/>
      <c r="Q29" s="594"/>
      <c r="R29" s="595"/>
      <c r="S29" s="595"/>
      <c r="T29" s="595"/>
      <c r="U29" s="596"/>
      <c r="V29" s="596"/>
      <c r="W29" s="596"/>
      <c r="X29" s="596"/>
      <c r="Y29" s="597"/>
      <c r="Z29" s="598"/>
      <c r="AA29" s="599"/>
      <c r="AB29" s="598"/>
      <c r="AC29" s="600"/>
      <c r="AD29" s="601"/>
      <c r="AE29" s="602"/>
      <c r="AF29" s="603"/>
      <c r="AG29" s="589"/>
      <c r="AH29" s="638"/>
      <c r="AI29" s="647"/>
      <c r="AJ29" s="604"/>
      <c r="AK29" s="628"/>
      <c r="AL29" s="589"/>
      <c r="AM29" s="657"/>
      <c r="AN29" s="837"/>
      <c r="AO29" s="606"/>
      <c r="AP29" s="606"/>
      <c r="AQ29" s="606"/>
      <c r="AR29" s="606"/>
      <c r="AS29" s="595"/>
      <c r="AT29" s="606"/>
      <c r="AU29" s="607"/>
      <c r="AV29" s="607"/>
      <c r="AW29" s="607"/>
      <c r="AX29" s="597"/>
    </row>
    <row r="30" spans="1:50" x14ac:dyDescent="0.2">
      <c r="A30" s="393" t="s">
        <v>291</v>
      </c>
      <c r="B30" s="394"/>
      <c r="C30" s="395"/>
      <c r="D30" s="396"/>
      <c r="E30" s="397"/>
      <c r="F30" s="397"/>
      <c r="G30" s="398"/>
      <c r="H30" s="398"/>
      <c r="I30" s="399"/>
      <c r="J30" s="398"/>
      <c r="K30" s="399"/>
      <c r="L30" s="398"/>
      <c r="M30" s="400"/>
      <c r="N30" s="398"/>
      <c r="O30" s="401"/>
      <c r="P30" s="402"/>
      <c r="Q30" s="403"/>
      <c r="R30" s="404"/>
      <c r="S30" s="404"/>
      <c r="T30" s="404"/>
      <c r="U30" s="405"/>
      <c r="V30" s="405"/>
      <c r="W30" s="405"/>
      <c r="X30" s="405"/>
      <c r="Y30" s="406"/>
      <c r="Z30" s="407"/>
      <c r="AA30" s="408"/>
      <c r="AB30" s="407"/>
      <c r="AC30" s="409"/>
      <c r="AD30" s="410"/>
      <c r="AE30" s="411"/>
      <c r="AF30" s="412"/>
      <c r="AG30" s="398"/>
      <c r="AH30" s="639"/>
      <c r="AI30" s="648"/>
      <c r="AJ30" s="413"/>
      <c r="AK30" s="629"/>
      <c r="AL30" s="398"/>
      <c r="AM30" s="658"/>
      <c r="AN30" s="838"/>
      <c r="AO30" s="333"/>
      <c r="AP30" s="333"/>
      <c r="AQ30" s="333"/>
      <c r="AR30" s="333"/>
      <c r="AS30" s="327"/>
      <c r="AT30" s="330"/>
      <c r="AU30" s="331"/>
      <c r="AV30" s="331"/>
      <c r="AW30" s="331"/>
      <c r="AX30" s="328"/>
    </row>
    <row r="31" spans="1:50" x14ac:dyDescent="0.2">
      <c r="A31" s="295"/>
      <c r="B31" s="340"/>
      <c r="C31" s="341"/>
      <c r="D31" s="326"/>
      <c r="E31" s="46"/>
      <c r="F31" s="46"/>
      <c r="G31" s="147"/>
      <c r="H31" s="147"/>
      <c r="I31" s="148"/>
      <c r="J31" s="147"/>
      <c r="K31" s="148"/>
      <c r="L31" s="147"/>
      <c r="M31" s="56"/>
      <c r="N31" s="147"/>
      <c r="O31" s="59"/>
      <c r="P31" s="279"/>
      <c r="Q31" s="160"/>
      <c r="R31" s="149"/>
      <c r="S31" s="149"/>
      <c r="T31" s="149"/>
      <c r="U31" s="150"/>
      <c r="V31" s="150"/>
      <c r="W31" s="150"/>
      <c r="X31" s="150"/>
      <c r="Y31" s="151"/>
      <c r="Z31" s="143"/>
      <c r="AA31" s="144"/>
      <c r="AB31" s="143"/>
      <c r="AC31" s="145"/>
      <c r="AD31" s="146"/>
      <c r="AE31" s="276"/>
      <c r="AF31" s="152"/>
      <c r="AG31" s="147"/>
      <c r="AH31" s="636"/>
      <c r="AI31" s="645"/>
      <c r="AJ31" s="269"/>
      <c r="AK31" s="626"/>
      <c r="AL31" s="147"/>
      <c r="AM31" s="655"/>
      <c r="AN31" s="835"/>
      <c r="AO31" s="155"/>
      <c r="AP31" s="155"/>
      <c r="AQ31" s="155"/>
      <c r="AR31" s="155"/>
      <c r="AS31" s="149"/>
      <c r="AT31" s="155"/>
      <c r="AU31" s="157"/>
      <c r="AV31" s="157"/>
      <c r="AW31" s="157"/>
      <c r="AX31" s="151"/>
    </row>
    <row r="32" spans="1:50" x14ac:dyDescent="0.2">
      <c r="A32" s="363" t="s">
        <v>341</v>
      </c>
      <c r="B32" s="364"/>
      <c r="C32" s="365"/>
      <c r="D32" s="366"/>
      <c r="E32" s="367"/>
      <c r="F32" s="367"/>
      <c r="G32" s="368"/>
      <c r="H32" s="368"/>
      <c r="I32" s="369"/>
      <c r="J32" s="368"/>
      <c r="K32" s="369"/>
      <c r="L32" s="368"/>
      <c r="M32" s="370"/>
      <c r="N32" s="368"/>
      <c r="O32" s="371"/>
      <c r="P32" s="372"/>
      <c r="Q32" s="373"/>
      <c r="R32" s="374"/>
      <c r="S32" s="374"/>
      <c r="T32" s="374"/>
      <c r="U32" s="375"/>
      <c r="V32" s="375"/>
      <c r="W32" s="375"/>
      <c r="X32" s="375"/>
      <c r="Y32" s="376"/>
      <c r="Z32" s="377"/>
      <c r="AA32" s="378"/>
      <c r="AB32" s="377"/>
      <c r="AC32" s="379"/>
      <c r="AD32" s="380"/>
      <c r="AE32" s="381"/>
      <c r="AF32" s="382"/>
      <c r="AG32" s="368"/>
      <c r="AH32" s="637"/>
      <c r="AI32" s="646"/>
      <c r="AJ32" s="383"/>
      <c r="AK32" s="627"/>
      <c r="AL32" s="368"/>
      <c r="AM32" s="656"/>
      <c r="AN32" s="836"/>
      <c r="AO32" s="346"/>
      <c r="AP32" s="346"/>
      <c r="AQ32" s="346"/>
      <c r="AR32" s="346"/>
      <c r="AS32" s="346"/>
      <c r="AT32" s="336"/>
      <c r="AU32" s="337"/>
      <c r="AV32" s="337"/>
      <c r="AW32" s="337"/>
      <c r="AX32" s="335"/>
    </row>
    <row r="33" spans="1:50" x14ac:dyDescent="0.2">
      <c r="A33" s="584"/>
      <c r="B33" s="585"/>
      <c r="C33" s="586"/>
      <c r="D33" s="608"/>
      <c r="E33" s="589"/>
      <c r="F33" s="589"/>
      <c r="G33" s="589"/>
      <c r="H33" s="589"/>
      <c r="I33" s="590"/>
      <c r="J33" s="589"/>
      <c r="K33" s="590"/>
      <c r="L33" s="589"/>
      <c r="M33" s="590"/>
      <c r="N33" s="590"/>
      <c r="O33" s="590"/>
      <c r="P33" s="593"/>
      <c r="Q33" s="595"/>
      <c r="R33" s="595"/>
      <c r="S33" s="595"/>
      <c r="T33" s="595"/>
      <c r="U33" s="596"/>
      <c r="V33" s="596"/>
      <c r="W33" s="596"/>
      <c r="X33" s="596"/>
      <c r="Y33" s="597"/>
      <c r="Z33" s="598"/>
      <c r="AA33" s="599"/>
      <c r="AB33" s="598"/>
      <c r="AC33" s="600"/>
      <c r="AD33" s="601"/>
      <c r="AE33" s="602"/>
      <c r="AF33" s="603"/>
      <c r="AG33" s="589"/>
      <c r="AH33" s="638"/>
      <c r="AI33" s="647"/>
      <c r="AJ33" s="604"/>
      <c r="AK33" s="628"/>
      <c r="AL33" s="589"/>
      <c r="AM33" s="657"/>
      <c r="AN33" s="846"/>
      <c r="AO33" s="595"/>
      <c r="AP33" s="595"/>
      <c r="AQ33" s="595"/>
      <c r="AR33" s="595"/>
      <c r="AS33" s="595"/>
      <c r="AT33" s="595"/>
      <c r="AU33" s="596"/>
      <c r="AV33" s="596"/>
      <c r="AW33" s="596"/>
      <c r="AX33" s="597"/>
    </row>
    <row r="34" spans="1:50" x14ac:dyDescent="0.2">
      <c r="A34" s="393" t="s">
        <v>290</v>
      </c>
      <c r="B34" s="394"/>
      <c r="C34" s="395"/>
      <c r="D34" s="396"/>
      <c r="E34" s="397"/>
      <c r="F34" s="397"/>
      <c r="G34" s="398"/>
      <c r="H34" s="398"/>
      <c r="I34" s="399"/>
      <c r="J34" s="398"/>
      <c r="K34" s="399"/>
      <c r="L34" s="398"/>
      <c r="M34" s="400"/>
      <c r="N34" s="398"/>
      <c r="O34" s="401"/>
      <c r="P34" s="402"/>
      <c r="Q34" s="403"/>
      <c r="R34" s="404"/>
      <c r="S34" s="404"/>
      <c r="T34" s="404"/>
      <c r="U34" s="405"/>
      <c r="V34" s="405"/>
      <c r="W34" s="405"/>
      <c r="X34" s="405"/>
      <c r="Y34" s="406"/>
      <c r="Z34" s="407"/>
      <c r="AA34" s="408"/>
      <c r="AB34" s="407"/>
      <c r="AC34" s="409"/>
      <c r="AD34" s="410"/>
      <c r="AE34" s="411"/>
      <c r="AF34" s="412"/>
      <c r="AG34" s="398"/>
      <c r="AH34" s="639"/>
      <c r="AI34" s="648"/>
      <c r="AJ34" s="413"/>
      <c r="AK34" s="629"/>
      <c r="AL34" s="398"/>
      <c r="AM34" s="658"/>
      <c r="AN34" s="847"/>
      <c r="AO34" s="330"/>
      <c r="AP34" s="330"/>
      <c r="AQ34" s="330"/>
      <c r="AR34" s="330"/>
      <c r="AS34" s="327"/>
      <c r="AT34" s="330"/>
      <c r="AU34" s="331"/>
      <c r="AV34" s="331"/>
      <c r="AW34" s="331"/>
      <c r="AX34" s="328"/>
    </row>
    <row r="35" spans="1:50" x14ac:dyDescent="0.2">
      <c r="A35" s="334"/>
      <c r="B35" s="340"/>
      <c r="C35" s="341"/>
      <c r="D35" s="338"/>
      <c r="E35" s="46"/>
      <c r="F35" s="46"/>
      <c r="G35" s="147"/>
      <c r="H35" s="147"/>
      <c r="I35" s="148"/>
      <c r="J35" s="147"/>
      <c r="K35" s="148"/>
      <c r="L35" s="147"/>
      <c r="M35" s="56"/>
      <c r="N35" s="148"/>
      <c r="O35" s="56"/>
      <c r="P35" s="279"/>
      <c r="Q35" s="160"/>
      <c r="R35" s="149"/>
      <c r="S35" s="149"/>
      <c r="T35" s="149"/>
      <c r="U35" s="150"/>
      <c r="V35" s="150"/>
      <c r="W35" s="150"/>
      <c r="X35" s="150"/>
      <c r="Y35" s="151"/>
      <c r="Z35" s="143"/>
      <c r="AA35" s="144"/>
      <c r="AB35" s="143"/>
      <c r="AC35" s="145"/>
      <c r="AD35" s="146"/>
      <c r="AE35" s="276"/>
      <c r="AF35" s="152"/>
      <c r="AG35" s="147"/>
      <c r="AH35" s="636"/>
      <c r="AI35" s="645"/>
      <c r="AJ35" s="269"/>
      <c r="AK35" s="626"/>
      <c r="AL35" s="147"/>
      <c r="AM35" s="655"/>
      <c r="AN35" s="835"/>
      <c r="AO35" s="155"/>
      <c r="AP35" s="155"/>
      <c r="AQ35" s="155"/>
      <c r="AR35" s="155"/>
      <c r="AS35" s="149"/>
      <c r="AT35" s="155"/>
      <c r="AU35" s="157"/>
      <c r="AV35" s="157"/>
      <c r="AW35" s="157"/>
      <c r="AX35" s="151"/>
    </row>
    <row r="36" spans="1:50" ht="12" thickBot="1" x14ac:dyDescent="0.25">
      <c r="A36" s="297"/>
      <c r="B36" s="343"/>
      <c r="C36" s="344"/>
      <c r="D36" s="161"/>
      <c r="E36" s="161"/>
      <c r="F36" s="161"/>
      <c r="G36" s="161"/>
      <c r="H36" s="161"/>
      <c r="I36" s="162"/>
      <c r="J36" s="161"/>
      <c r="K36" s="162"/>
      <c r="L36" s="161"/>
      <c r="M36" s="162"/>
      <c r="N36" s="162"/>
      <c r="O36" s="162"/>
      <c r="P36" s="280"/>
      <c r="Q36" s="163"/>
      <c r="R36" s="163"/>
      <c r="S36" s="163"/>
      <c r="T36" s="163"/>
      <c r="U36" s="164"/>
      <c r="V36" s="164"/>
      <c r="W36" s="164"/>
      <c r="X36" s="164"/>
      <c r="Y36" s="165"/>
      <c r="Z36" s="166"/>
      <c r="AA36" s="167"/>
      <c r="AB36" s="166"/>
      <c r="AC36" s="168"/>
      <c r="AD36" s="169"/>
      <c r="AE36" s="278"/>
      <c r="AF36" s="171"/>
      <c r="AG36" s="161"/>
      <c r="AH36" s="640"/>
      <c r="AI36" s="649"/>
      <c r="AJ36" s="270"/>
      <c r="AK36" s="632"/>
      <c r="AL36" s="161"/>
      <c r="AM36" s="659"/>
      <c r="AN36" s="848"/>
      <c r="AO36" s="163"/>
      <c r="AP36" s="163"/>
      <c r="AQ36" s="163"/>
      <c r="AR36" s="163"/>
      <c r="AS36" s="163"/>
      <c r="AT36" s="163"/>
      <c r="AU36" s="164"/>
      <c r="AV36" s="164"/>
      <c r="AW36" s="164"/>
      <c r="AX36"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41"/>
  <sheetViews>
    <sheetView workbookViewId="0">
      <pane xSplit="20" ySplit="6" topLeftCell="AA7" activePane="bottomRight" state="frozen"/>
      <selection pane="topRight" activeCell="U1" sqref="U1"/>
      <selection pane="bottomLeft" activeCell="A7" sqref="A7"/>
      <selection pane="bottomRight" activeCell="AA3" sqref="AA3"/>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5" width="7.125" style="3" customWidth="1"/>
    <col min="36" max="36" width="7.7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HCl</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IF($B$5=0,"",IF(INDEX(AK$1:AK$41,$B$5)="","",IF(AND(OR($AI5="",INGVAN="",$AI5&lt;=INGVAN),OR($AI5="",INGTOT="",$AI5&lt;=INGTOT)),1,0)))</f>
        <v/>
      </c>
      <c r="AL1" s="184" t="str">
        <f ca="1">IF($B$5=0,"",IF(INDEX(AK$1:AK$41,$B$5)="","",IF(AND(OR($AJ5="",INGVAN="",$AJ5&gt;=INGVAN),OR($AJ5="",INGTOT="",$AJ5&gt;=INGTOT)),1,0)))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126</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HCl</v>
      </c>
      <c r="AG3" s="129" t="s">
        <v>165</v>
      </c>
      <c r="AH3" s="633" t="s">
        <v>356</v>
      </c>
      <c r="AI3" s="642" t="s">
        <v>358</v>
      </c>
      <c r="AJ3" s="282" t="s">
        <v>359</v>
      </c>
      <c r="AK3" s="624" t="s">
        <v>251</v>
      </c>
      <c r="AL3" s="130" t="s">
        <v>183</v>
      </c>
      <c r="AM3" s="652" t="s">
        <v>209</v>
      </c>
      <c r="AN3" s="530" t="s">
        <v>534</v>
      </c>
      <c r="AO3" s="853"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IF(AND(AF5="",AF6=""),"",CONCATENATE(ROUND((100-IF(AF6="",0,ABRAND2))/100*IF(AF5="",0,AF5*(21-AG4)/(21-AG5))+IF(AF5="",100,ABRAND2)/100*IF(AF6="",0,AF6*(21-AG4)/(21-AG6)),0)," ",IF(A2="","",A2)," bij ",AG4," vol% O₂"))</f>
        <v/>
      </c>
      <c r="AG4" s="208">
        <f ca="1">NOx!AG4</f>
        <v>3</v>
      </c>
      <c r="AH4" s="634" t="str">
        <f ca="1">IF($C$6=0,AH5,IF($B$5=0,AH6,IF($B$5&lt;$C$6,AH5,AH6)))</f>
        <v/>
      </c>
      <c r="AI4" s="643"/>
      <c r="AJ4" s="208"/>
      <c r="AK4" s="696"/>
      <c r="AL4" s="208"/>
      <c r="AM4" s="653" t="str">
        <f ca="1">IF($C$6=0,AM5,IF($B$5=0,AM6,IF($B$5&lt;$C$6,AM5,AM6)))</f>
        <v/>
      </c>
      <c r="AN4" s="209"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54" t="str">
        <f t="shared" ref="AO4:AS4" ca="1" si="7">IF($C$6=0,AO5,IF($B$5=0,AO6,IF($B$5&lt;$C$6,AO5,AO6)))</f>
        <v/>
      </c>
      <c r="AP4" s="210" t="str">
        <f t="shared" ca="1" si="7"/>
        <v/>
      </c>
      <c r="AQ4" s="210" t="str">
        <f t="shared" ca="1" si="7"/>
        <v/>
      </c>
      <c r="AR4" s="211" t="str">
        <f t="shared" ca="1" si="7"/>
        <v/>
      </c>
      <c r="AS4" s="210" t="str">
        <f t="shared" ca="1" si="7"/>
        <v/>
      </c>
      <c r="AT4" s="210" t="str">
        <f t="shared" ref="AT4" ca="1" si="8">IF($C$6=0,AT5,IF($B$5=0,AT6,IF($B$5&lt;$C$6,AT5,AT6)))</f>
        <v/>
      </c>
      <c r="AU4" s="212"/>
      <c r="AV4" s="212"/>
      <c r="AW4" s="212"/>
      <c r="AX4" s="213" t="str">
        <f ca="1">CONCATENATE(IF($AL$4="","",$AL$4),IF($AW$2="","",CONCATENATE(IF(AL4&lt;&gt;"",CHAR(10),""),"+ ",$AW$2)))</f>
        <v/>
      </c>
    </row>
    <row r="5" spans="1:50" x14ac:dyDescent="0.2">
      <c r="A5" s="181" t="s">
        <v>29</v>
      </c>
      <c r="B5" s="192">
        <f ca="1">IF(Geldig,MAX(B8:B41),0)</f>
        <v>0</v>
      </c>
      <c r="C5" s="195"/>
      <c r="D5" s="192" t="str">
        <f t="shared" ref="D5:AF5" ca="1" si="9">IF($B$5=0,"",IF(INDEX(D$1:D$41,$B$5)="","",INDEX(D$1:D$41,$B$5)))</f>
        <v/>
      </c>
      <c r="E5" s="193" t="str">
        <f t="shared" ca="1" si="9"/>
        <v/>
      </c>
      <c r="F5" s="193" t="str">
        <f t="shared" ca="1" si="9"/>
        <v/>
      </c>
      <c r="G5" s="193" t="str">
        <f t="shared" ca="1" si="9"/>
        <v/>
      </c>
      <c r="H5" s="193" t="str">
        <f t="shared" ca="1" si="9"/>
        <v/>
      </c>
      <c r="I5" s="194" t="str">
        <f t="shared" ca="1" si="9"/>
        <v/>
      </c>
      <c r="J5" s="193" t="str">
        <f t="shared" ca="1" si="9"/>
        <v/>
      </c>
      <c r="K5" s="194" t="str">
        <f t="shared" ca="1" si="9"/>
        <v/>
      </c>
      <c r="L5" s="193" t="str">
        <f t="shared" ca="1" si="9"/>
        <v/>
      </c>
      <c r="M5" s="194" t="str">
        <f t="shared" ca="1" si="9"/>
        <v/>
      </c>
      <c r="N5" s="194" t="str">
        <f t="shared" ca="1" si="9"/>
        <v/>
      </c>
      <c r="O5" s="195" t="str">
        <f t="shared" ca="1" si="9"/>
        <v/>
      </c>
      <c r="P5" s="187" t="str">
        <f t="shared" ca="1" si="9"/>
        <v/>
      </c>
      <c r="Q5" s="214" t="str">
        <f t="shared" ca="1" si="9"/>
        <v/>
      </c>
      <c r="R5" s="214" t="str">
        <f t="shared" ca="1" si="9"/>
        <v/>
      </c>
      <c r="S5" s="214" t="str">
        <f t="shared" ca="1" si="9"/>
        <v/>
      </c>
      <c r="T5" s="214" t="str">
        <f t="shared" ca="1" si="9"/>
        <v/>
      </c>
      <c r="U5" s="214" t="str">
        <f t="shared" ca="1" si="9"/>
        <v/>
      </c>
      <c r="V5" s="215" t="str">
        <f t="shared" ca="1" si="9"/>
        <v/>
      </c>
      <c r="W5" s="215" t="str">
        <f t="shared" ca="1" si="9"/>
        <v/>
      </c>
      <c r="X5" s="215" t="str">
        <f t="shared" ca="1" si="9"/>
        <v/>
      </c>
      <c r="Y5" s="216" t="str">
        <f t="shared" ca="1" si="9"/>
        <v/>
      </c>
      <c r="Z5" s="217" t="str">
        <f t="shared" ca="1" si="9"/>
        <v/>
      </c>
      <c r="AA5" s="218" t="str">
        <f t="shared" ca="1" si="9"/>
        <v/>
      </c>
      <c r="AB5" s="217" t="str">
        <f t="shared" ca="1" si="9"/>
        <v/>
      </c>
      <c r="AC5" s="219" t="str">
        <f t="shared" ca="1" si="9"/>
        <v/>
      </c>
      <c r="AD5" s="220" t="str">
        <f t="shared" ca="1" si="9"/>
        <v/>
      </c>
      <c r="AE5" s="221" t="str">
        <f t="shared" ca="1" si="9"/>
        <v/>
      </c>
      <c r="AF5" s="222" t="str">
        <f t="shared" ca="1" si="9"/>
        <v/>
      </c>
      <c r="AG5" s="223" t="str">
        <f ca="1">IF($B$5=0,"",IF(INDEX(AG$1:AG$41,$B$5)="",O2BRAND1,INDEX(AG$1:AG$41,$B$5)))</f>
        <v/>
      </c>
      <c r="AH5" s="225" t="str">
        <f ca="1">IF($B$5=0,"",IF(INDEX(AH$1:AH$41,$B$5)="","",INDEX(AH$1:AH$41,$B$5)))</f>
        <v/>
      </c>
      <c r="AI5" s="661" t="str">
        <f ca="1">IF($B$5=0,"",IF(INDEX(AI$1:AI$41,$B$5)="","",INDEX(AI$1:AI$41,$B$5)))</f>
        <v/>
      </c>
      <c r="AJ5" s="218" t="str">
        <f ca="1">IF($B$5=0,"",IF(INDEX(AJ$1:AJ$41,$B$5)="","",INDEX(AJ$1:AJ$41,$B$5)))</f>
        <v/>
      </c>
      <c r="AK5" s="651" t="str">
        <f ca="1">IF($B$5=0,"",IF(INDEX(AK$1:AK$41,$B$5)="","",IF(AND(OR($AI5="",INGVAN="",$AI5&lt;=INGVAN),OR($AI5="",INGTOT="",$AI5&lt;=INGTOT),OR($AJ5="",INGVAN="",$AJ5&gt;=INGVAN),OR($AJ5="",INGTOT="",$AJ5&gt;=INGTOT)),INDEX(AK$1:AK$41,$B$5),"")))</f>
        <v/>
      </c>
      <c r="AL5" s="223" t="str">
        <f ca="1">IF($B$5=0,"",IF(INDEX(AL$1:AL$41,$B$5)="","",IF(AND(OR($AI5="",INGVAN="",$AI5&lt;=INGVAN),OR($AI5="",INGTOT="",$AI5&lt;=INGTOT),OR($AJ5="",INGVAN="",$AJ5&gt;=INGVAN),OR($AJ5="",INGTOT="",$AJ5&gt;=INGTOT)),INDEX(AL$1:AL$41,$B$5),"")))</f>
        <v/>
      </c>
      <c r="AM5" s="224" t="str">
        <f ca="1">IF($B$5=0,"",IF(INDEX(AM$1:AM$41,$B$5)="","",IF(AND(OR($AI5="",INGVAN="",$AI5&lt;=INGVAN),OR($AI5="",INGTOT="",$AI5&lt;=INGTOT),OR($AJ5="",INGVAN="",$AJ5&gt;=INGVAN),OR($AJ5="",INGTOT="",$AJ5&gt;=INGTOT)),INDEX(AM$1:AM$41,$B$5),"")))</f>
        <v/>
      </c>
      <c r="AN5" s="226"/>
      <c r="AO5" s="855" t="str">
        <f t="shared" ref="AO5:AW5" ca="1" si="10">IF($B$5=0,"",IF(INDEX(AO$1:AO$41,$B$5)="","",INDEX(AO$1:AO$41,$B$5)))</f>
        <v/>
      </c>
      <c r="AP5" s="227" t="str">
        <f t="shared" ca="1" si="10"/>
        <v/>
      </c>
      <c r="AQ5" s="227" t="str">
        <f t="shared" ca="1" si="10"/>
        <v/>
      </c>
      <c r="AR5" s="227" t="str">
        <f t="shared" ca="1" si="10"/>
        <v/>
      </c>
      <c r="AS5" s="227" t="str">
        <f t="shared" ca="1" si="10"/>
        <v/>
      </c>
      <c r="AT5" s="227" t="str">
        <f t="shared" ca="1" si="10"/>
        <v/>
      </c>
      <c r="AU5" s="227" t="str">
        <f t="shared" ca="1" si="10"/>
        <v/>
      </c>
      <c r="AV5" s="227" t="str">
        <f t="shared" ca="1" si="10"/>
        <v/>
      </c>
      <c r="AW5" s="227" t="str">
        <f t="shared" ca="1" si="10"/>
        <v/>
      </c>
      <c r="AX5" s="228"/>
    </row>
    <row r="6" spans="1:50" ht="12" thickBot="1" x14ac:dyDescent="0.25">
      <c r="A6" s="182" t="s">
        <v>30</v>
      </c>
      <c r="B6" s="190"/>
      <c r="C6" s="191">
        <f ca="1">MAX(C8:C41)</f>
        <v>0</v>
      </c>
      <c r="D6" s="196" t="str">
        <f t="shared" ref="D6:AF6" ca="1" si="11">IF($C$6=0,"",IF(INDEX(D$1:D$41,$C$6)="","",INDEX(D$1:D$41,$C$6)))</f>
        <v/>
      </c>
      <c r="E6" s="196" t="str">
        <f t="shared" ca="1" si="11"/>
        <v/>
      </c>
      <c r="F6" s="196" t="str">
        <f t="shared" ca="1" si="11"/>
        <v/>
      </c>
      <c r="G6" s="196" t="str">
        <f t="shared" ca="1" si="11"/>
        <v/>
      </c>
      <c r="H6" s="196" t="str">
        <f t="shared" ca="1" si="11"/>
        <v/>
      </c>
      <c r="I6" s="197" t="str">
        <f t="shared" ca="1" si="11"/>
        <v/>
      </c>
      <c r="J6" s="196" t="str">
        <f t="shared" ca="1" si="11"/>
        <v/>
      </c>
      <c r="K6" s="197" t="str">
        <f t="shared" ca="1" si="11"/>
        <v/>
      </c>
      <c r="L6" s="196" t="str">
        <f t="shared" ca="1" si="11"/>
        <v/>
      </c>
      <c r="M6" s="197" t="str">
        <f t="shared" ca="1" si="11"/>
        <v/>
      </c>
      <c r="N6" s="197" t="str">
        <f t="shared" ca="1" si="11"/>
        <v/>
      </c>
      <c r="O6" s="197" t="str">
        <f t="shared" ca="1" si="11"/>
        <v/>
      </c>
      <c r="P6" s="229" t="str">
        <f t="shared" ca="1" si="11"/>
        <v/>
      </c>
      <c r="Q6" s="230" t="str">
        <f t="shared" ca="1" si="11"/>
        <v/>
      </c>
      <c r="R6" s="230" t="str">
        <f t="shared" ca="1" si="11"/>
        <v/>
      </c>
      <c r="S6" s="230" t="str">
        <f t="shared" ca="1" si="11"/>
        <v/>
      </c>
      <c r="T6" s="230" t="str">
        <f t="shared" ca="1" si="11"/>
        <v/>
      </c>
      <c r="U6" s="230" t="str">
        <f t="shared" ca="1" si="11"/>
        <v/>
      </c>
      <c r="V6" s="231" t="str">
        <f t="shared" ca="1" si="11"/>
        <v/>
      </c>
      <c r="W6" s="231" t="str">
        <f t="shared" ca="1" si="11"/>
        <v/>
      </c>
      <c r="X6" s="231" t="str">
        <f t="shared" ca="1" si="11"/>
        <v/>
      </c>
      <c r="Y6" s="232" t="str">
        <f t="shared" ca="1" si="11"/>
        <v/>
      </c>
      <c r="Z6" s="233" t="str">
        <f t="shared" ca="1" si="11"/>
        <v/>
      </c>
      <c r="AA6" s="234" t="str">
        <f t="shared" ca="1" si="11"/>
        <v/>
      </c>
      <c r="AB6" s="233" t="str">
        <f t="shared" ca="1" si="11"/>
        <v/>
      </c>
      <c r="AC6" s="235" t="str">
        <f t="shared" ca="1" si="11"/>
        <v/>
      </c>
      <c r="AD6" s="236" t="str">
        <f t="shared" ca="1" si="11"/>
        <v/>
      </c>
      <c r="AE6" s="237" t="str">
        <f t="shared" ca="1" si="11"/>
        <v/>
      </c>
      <c r="AF6" s="196" t="str">
        <f t="shared" ca="1" si="11"/>
        <v/>
      </c>
      <c r="AG6" s="238" t="str">
        <f ca="1">IF($C$6=0,"",IF(INDEX(AG$1:AG$41,$C$6)="",O2BRAND2,INDEX(AG$1:AG$41,$C$6)))</f>
        <v/>
      </c>
      <c r="AH6" s="239" t="str">
        <f ca="1">IF($C$6=0,"",IF(INDEX(AH$1:AH$41,$C$6)="","",INDEX(AH$1:AH$41,$C$6)))</f>
        <v/>
      </c>
      <c r="AI6" s="662" t="str">
        <f ca="1">IF($C$6=0,"",IF(INDEX(AI$1:AI$41,$C$6)="","",INDEX(AI$1:AI$41,$C$6)))</f>
        <v/>
      </c>
      <c r="AJ6" s="234" t="str">
        <f ca="1">IF($C$6=0,"",IF(INDEX(AJ$1:AJ$41,$C$6)="","",INDEX(AJ$1:AJ$41,$C$6)))</f>
        <v/>
      </c>
      <c r="AK6" s="672" t="str">
        <f ca="1">IF($C$6=0,"",IF(INDEX(AK$1:AK$41,$C$6)="","",IF(AND(OR($AI6="",INGVAN="",$AI6&lt;=INGVAN),OR($AI6="",INGTOT="",$AI6&lt;=INGTOT),OR($AJ6="",INGVAN="",$AJ6&gt;=INGVAN),OR($AJ6="",INGTOT="",$AJ6&gt;=INGTOT)),INDEX(AK$1:AK$41,$C$6),"")))</f>
        <v/>
      </c>
      <c r="AL6" s="238" t="str">
        <f ca="1">IF($C$6=0,"",IF(INDEX(AL$1:AL$41,$C$6)="","",IF(AND(OR($AI6="",INGVAN="",$AI6&lt;=INGVAN),OR($AI6="",INGTOT="",$AI6&lt;=INGTOT),OR($AJ6="",INGVAN="",$AJ6&gt;=INGVAN),OR($AJ6="",INGTOT="",$AJ6&gt;=INGTOT)),INDEX(AL$1:AL$41,$C$6),"")))</f>
        <v/>
      </c>
      <c r="AM6" s="673" t="str">
        <f ca="1">IF($C$6=0,"",IF(INDEX(AM$1:AM$41,$C$6)="","",IF(AND(OR($AI6="",INGVAN="",$AI6&lt;=INGVAN),OR($AI6="",INGTOT="",$AI6&lt;=INGTOT),OR($AJ6="",INGVAN="",$AJ6&gt;=INGVAN),OR($AJ6="",INGTOT="",$AJ6&gt;=INGTOT)),INDEX(AM$1:AM$41,$C$6),"")))</f>
        <v/>
      </c>
      <c r="AN6" s="240"/>
      <c r="AO6" s="856" t="str">
        <f t="shared" ref="AO6:AW6" ca="1" si="12">IF($C$6=0,"",IF(INDEX(AO$1:AO$41,$C$6)="","",INDEX(AO$1:AO$41,$C$6)))</f>
        <v/>
      </c>
      <c r="AP6" s="241" t="str">
        <f t="shared" ca="1" si="12"/>
        <v/>
      </c>
      <c r="AQ6" s="241" t="str">
        <f t="shared" ca="1" si="12"/>
        <v/>
      </c>
      <c r="AR6" s="241" t="str">
        <f t="shared" ca="1" si="12"/>
        <v/>
      </c>
      <c r="AS6" s="241" t="str">
        <f t="shared" ca="1" si="12"/>
        <v/>
      </c>
      <c r="AT6" s="241" t="str">
        <f t="shared" ca="1" si="12"/>
        <v/>
      </c>
      <c r="AU6" s="241" t="str">
        <f t="shared" ca="1" si="12"/>
        <v/>
      </c>
      <c r="AV6" s="241" t="str">
        <f t="shared" ca="1" si="12"/>
        <v/>
      </c>
      <c r="AW6" s="241" t="str">
        <f t="shared" ca="1" si="12"/>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322"/>
      <c r="AO7" s="857" t="s">
        <v>243</v>
      </c>
      <c r="AP7" s="323" t="s">
        <v>469</v>
      </c>
      <c r="AQ7" s="323" t="s">
        <v>474</v>
      </c>
      <c r="AR7" s="323" t="s">
        <v>192</v>
      </c>
      <c r="AS7" s="323"/>
      <c r="AT7" s="320"/>
      <c r="AU7" s="321"/>
      <c r="AV7" s="321"/>
      <c r="AW7" s="321"/>
      <c r="AX7" s="319"/>
    </row>
    <row r="8" spans="1:50" x14ac:dyDescent="0.2">
      <c r="A8" s="295"/>
      <c r="B8" s="339">
        <f t="shared" ref="B8:B13" ca="1" si="13">IF(AND(SUM(D8:K8,L8:M8)=COUNT(D8:K8,L8:M8),COUNT(D8:K8,L8:M8)&gt;0),ROW(B8),0)</f>
        <v>0</v>
      </c>
      <c r="C8" s="249">
        <f t="shared" ref="C8:C13" ca="1" si="14">IF(AND(SUM(D8:K8,N8:O8)=COUNT(D8:K8,N8:O8),COUNT(D8:K8,N8:O8)&gt;0),ROW(B8),0)</f>
        <v>0</v>
      </c>
      <c r="D8" s="246">
        <f ca="1">IF(AND(OR($Z8="",INGVAN="",$Z8&lt;=INGVAN),OR($Z8="",INGTOT="",$Z8&lt;=INGTOT),OR($AA8="",INGVAN="",$AA8&gt;=INGVAN),OR($AA8="",INGTOT="",$AA8&gt;=INGTOT)),1,0)</f>
        <v>1</v>
      </c>
      <c r="E8" s="247">
        <f t="shared" ref="E8:E18" ca="1" si="15">IF(AND(OR($AB8="",Tdatum&gt;=$AB8,AND(AB8&lt;&gt;"",ISNUMBER(FIND("j",LOWER(AD8))))),OR($AC8="",Tdatum&lt;=$AC8)),1,0)</f>
        <v>1</v>
      </c>
      <c r="F8" s="247">
        <f t="shared" ref="F8:F26" ca="1" si="16">IF(AND(OR($S8="",MW&gt;=$S8),OR($T8="",$T8&gt;MW)),1,0)</f>
        <v>1</v>
      </c>
      <c r="G8" s="147">
        <f ca="1">IF(Afvalvernietiging,1,0)</f>
        <v>0</v>
      </c>
      <c r="H8" s="147"/>
      <c r="I8" s="147"/>
      <c r="J8" s="147"/>
      <c r="K8" s="148"/>
      <c r="L8" s="147">
        <f ca="1">IF(OR(TBRAND1=3,AND(G8=1,N8=0)),1,0)</f>
        <v>0</v>
      </c>
      <c r="M8" s="248">
        <f t="shared" ref="M8" ca="1" si="17">IF(AND(ParBAL1&lt;&gt;"",ParBAL1=P8),1,0)</f>
        <v>0</v>
      </c>
      <c r="N8" s="147">
        <f ca="1">IF(TBRAND2=3,1,0)</f>
        <v>0</v>
      </c>
      <c r="O8" s="249">
        <f t="shared" ref="O8" ca="1" si="18">IF(AND(ParBAL2&lt;&gt;"",ParBAL2=P8),1,0)</f>
        <v>0</v>
      </c>
      <c r="P8" s="279" t="s">
        <v>39</v>
      </c>
      <c r="Q8" s="149" t="s">
        <v>48</v>
      </c>
      <c r="R8" s="149" t="s">
        <v>265</v>
      </c>
      <c r="S8" s="149"/>
      <c r="T8" s="149"/>
      <c r="U8" s="150"/>
      <c r="V8" s="150"/>
      <c r="W8" s="150"/>
      <c r="X8" s="150"/>
      <c r="Y8" s="151"/>
      <c r="Z8" s="143"/>
      <c r="AA8" s="144"/>
      <c r="AB8" s="143"/>
      <c r="AC8" s="145"/>
      <c r="AD8" s="146"/>
      <c r="AE8" s="276" t="s">
        <v>121</v>
      </c>
      <c r="AF8" s="152" t="s">
        <v>411</v>
      </c>
      <c r="AG8" s="147"/>
      <c r="AH8" s="636"/>
      <c r="AI8" s="645"/>
      <c r="AJ8" s="663">
        <v>43781</v>
      </c>
      <c r="AK8" s="626" t="s">
        <v>123</v>
      </c>
      <c r="AL8" s="147">
        <v>8</v>
      </c>
      <c r="AM8" s="655"/>
      <c r="AN8" s="324"/>
      <c r="AO8" s="349" t="str">
        <f>AO$7</f>
        <v xml:space="preserve">Er geldt een continue meetverplichting (art 4.79). </v>
      </c>
      <c r="AP8" s="325" t="str">
        <f t="shared" ref="AP8:AR13" si="19">AP$7</f>
        <v>De kwaliteitsborging van het continue meetsysteem vindt plaats volgen NEN-EN 14181 (art. 4.78). Onder de voorwaarden van art. 4.81 4e lid zijn halfjaarlijkse (of geen) periodieke metingen door een geaccrediteerd laboratorium volgens NEN-EN 1911 toegestaan (art. 4.78 en 4.84).</v>
      </c>
      <c r="AQ8" s="325" t="str">
        <f t="shared" si="19"/>
        <v>De aangetoonde meetonzekerheid mag niet groter zijn dan 40% van de emissie-eis of 4 mg/Nm3 (art. 4.88).</v>
      </c>
      <c r="AR8"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25"/>
      <c r="AT8" s="149"/>
      <c r="AU8" s="150"/>
      <c r="AV8" s="150"/>
      <c r="AW8" s="150"/>
      <c r="AX8" s="151"/>
    </row>
    <row r="9" spans="1:50" x14ac:dyDescent="0.2">
      <c r="A9" s="295"/>
      <c r="B9" s="339">
        <f t="shared" ca="1" si="13"/>
        <v>0</v>
      </c>
      <c r="C9" s="249">
        <f t="shared" ca="1" si="14"/>
        <v>0</v>
      </c>
      <c r="D9" s="246">
        <f ca="1">IF(AND(OR($Z9="",INGVAN="",$Z9&lt;=INGVAN),OR($Z9="",INGTOT="",$Z9&lt;=INGTOT),OR($AA9="",INGVAN="",$AA9&gt;=INGVAN),OR($AA9="",INGTOT="",$AA9&gt;=INGTOT)),1,0)</f>
        <v>1</v>
      </c>
      <c r="E9" s="247">
        <f t="shared" ca="1" si="15"/>
        <v>1</v>
      </c>
      <c r="F9" s="247">
        <f t="shared" ca="1" si="16"/>
        <v>1</v>
      </c>
      <c r="G9" s="147">
        <f ca="1">IF(EnergieUitAfval,1,0)</f>
        <v>0</v>
      </c>
      <c r="H9" s="147"/>
      <c r="I9" s="147"/>
      <c r="J9" s="147"/>
      <c r="K9" s="148"/>
      <c r="L9" s="147">
        <f ca="1">IF(TBRAND1=3,1,0)</f>
        <v>0</v>
      </c>
      <c r="M9" s="248">
        <f t="shared" ref="M9:M18" ca="1" si="20">IF(AND(ParBAL1&lt;&gt;"",ParBAL1=P9),1,0)</f>
        <v>0</v>
      </c>
      <c r="N9" s="147">
        <f ca="1">IF(TBRAND2=3,1,0)</f>
        <v>0</v>
      </c>
      <c r="O9" s="249">
        <f t="shared" ref="O9:O18" ca="1" si="21">IF(AND(ParBAL2&lt;&gt;"",ParBAL2=P9),1,0)</f>
        <v>0</v>
      </c>
      <c r="P9" s="279" t="s">
        <v>39</v>
      </c>
      <c r="Q9" s="149" t="s">
        <v>266</v>
      </c>
      <c r="R9" s="149" t="s">
        <v>46</v>
      </c>
      <c r="S9" s="149"/>
      <c r="T9" s="149"/>
      <c r="U9" s="150"/>
      <c r="V9" s="150"/>
      <c r="W9" s="150"/>
      <c r="X9" s="150"/>
      <c r="Y9" s="151"/>
      <c r="Z9" s="143"/>
      <c r="AA9" s="144"/>
      <c r="AB9" s="143"/>
      <c r="AC9" s="145"/>
      <c r="AD9" s="146"/>
      <c r="AE9" s="276" t="s">
        <v>121</v>
      </c>
      <c r="AF9" s="152" t="s">
        <v>411</v>
      </c>
      <c r="AG9" s="147"/>
      <c r="AH9" s="636"/>
      <c r="AI9" s="645"/>
      <c r="AJ9" s="663">
        <v>43781</v>
      </c>
      <c r="AK9" s="626" t="s">
        <v>123</v>
      </c>
      <c r="AL9" s="147">
        <v>8</v>
      </c>
      <c r="AM9" s="655"/>
      <c r="AN9" s="324"/>
      <c r="AO9" s="349" t="str">
        <f t="shared" ref="AO9:AO13" si="22">AO$7</f>
        <v xml:space="preserve">Er geldt een continue meetverplichting (art 4.79). </v>
      </c>
      <c r="AP9" s="325" t="str">
        <f t="shared" si="19"/>
        <v>De kwaliteitsborging van het continue meetsysteem vindt plaats volgen NEN-EN 14181 (art. 4.78). Onder de voorwaarden van art. 4.81 4e lid zijn halfjaarlijkse (of geen) periodieke metingen door een geaccrediteerd laboratorium volgens NEN-EN 1911 toegestaan (art. 4.78 en 4.84).</v>
      </c>
      <c r="AQ9" s="325" t="str">
        <f t="shared" si="19"/>
        <v>De aangetoonde meetonzekerheid mag niet groter zijn dan 40% van de emissie-eis of 4 mg/Nm3 (art. 4.88).</v>
      </c>
      <c r="AR9" s="325" t="s">
        <v>451</v>
      </c>
      <c r="AS9" s="325"/>
      <c r="AT9" s="155"/>
      <c r="AU9" s="157"/>
      <c r="AV9" s="157"/>
      <c r="AW9" s="157"/>
      <c r="AX9" s="158"/>
    </row>
    <row r="10" spans="1:50" x14ac:dyDescent="0.2">
      <c r="A10" s="295"/>
      <c r="B10" s="339">
        <f t="shared" ca="1" si="13"/>
        <v>0</v>
      </c>
      <c r="C10" s="249">
        <f t="shared" ca="1" si="14"/>
        <v>0</v>
      </c>
      <c r="D10" s="246">
        <f ca="1">IF(AND(OR($Z10="",INGVAN="",$Z10&lt;=INGVAN),OR($Z10="",INGTOT="",$Z10&lt;=INGTOT),OR($AA10="",INGVAN="",$AA10&gt;=INGVAN),OR($AA10="",INGTOT="",$AA10&gt;=INGTOT)),1,0)</f>
        <v>1</v>
      </c>
      <c r="E10" s="247">
        <f t="shared" ca="1" si="15"/>
        <v>1</v>
      </c>
      <c r="F10" s="247">
        <f t="shared" ca="1" si="16"/>
        <v>1</v>
      </c>
      <c r="G10" s="147">
        <f ca="1">IF(SI=17,1,0)</f>
        <v>0</v>
      </c>
      <c r="H10" s="148"/>
      <c r="I10" s="147"/>
      <c r="J10" s="159"/>
      <c r="K10" s="148"/>
      <c r="L10" s="147">
        <f ca="1">IF(TBRAND1=3,1,0)</f>
        <v>0</v>
      </c>
      <c r="M10" s="248">
        <f t="shared" ca="1" si="20"/>
        <v>0</v>
      </c>
      <c r="N10" s="147">
        <f ca="1">IF(TBRAND2=3,1,0)</f>
        <v>0</v>
      </c>
      <c r="O10" s="249">
        <f t="shared" ca="1" si="21"/>
        <v>0</v>
      </c>
      <c r="P10" s="279" t="s">
        <v>39</v>
      </c>
      <c r="Q10" s="160" t="s">
        <v>128</v>
      </c>
      <c r="R10" s="149"/>
      <c r="S10" s="149"/>
      <c r="T10" s="149"/>
      <c r="U10" s="150"/>
      <c r="V10" s="150"/>
      <c r="W10" s="150"/>
      <c r="X10" s="150"/>
      <c r="Y10" s="151"/>
      <c r="Z10" s="143"/>
      <c r="AA10" s="144"/>
      <c r="AB10" s="143"/>
      <c r="AC10" s="145"/>
      <c r="AD10" s="146"/>
      <c r="AE10" s="276" t="s">
        <v>130</v>
      </c>
      <c r="AF10" s="152" t="s">
        <v>401</v>
      </c>
      <c r="AG10" s="147"/>
      <c r="AH10" s="636"/>
      <c r="AI10" s="645"/>
      <c r="AJ10" s="269"/>
      <c r="AK10" s="626"/>
      <c r="AL10" s="147"/>
      <c r="AM10" s="655"/>
      <c r="AN10" s="324"/>
      <c r="AO10" s="349" t="str">
        <f t="shared" si="22"/>
        <v xml:space="preserve">Er geldt een continue meetverplichting (art 4.79). </v>
      </c>
      <c r="AP10" s="325" t="str">
        <f t="shared" si="19"/>
        <v>De kwaliteitsborging van het continue meetsysteem vindt plaats volgen NEN-EN 14181 (art. 4.78). Onder de voorwaarden van art. 4.81 4e lid zijn halfjaarlijkse (of geen) periodieke metingen door een geaccrediteerd laboratorium volgens NEN-EN 1911 toegestaan (art. 4.78 en 4.84).</v>
      </c>
      <c r="AQ10" s="325" t="str">
        <f t="shared" si="19"/>
        <v>De aangetoonde meetonzekerheid mag niet groter zijn dan 40% van de emissie-eis of 4 mg/Nm3 (art. 4.88).</v>
      </c>
      <c r="AR10"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25"/>
      <c r="AT10" s="155"/>
      <c r="AU10" s="157"/>
      <c r="AV10" s="157"/>
      <c r="AW10" s="157"/>
      <c r="AX10" s="151"/>
    </row>
    <row r="11" spans="1:50" x14ac:dyDescent="0.2">
      <c r="A11" s="295"/>
      <c r="B11" s="340"/>
      <c r="C11" s="341"/>
      <c r="D11" s="326"/>
      <c r="E11" s="46"/>
      <c r="F11" s="46"/>
      <c r="G11" s="147"/>
      <c r="H11" s="147"/>
      <c r="I11" s="148"/>
      <c r="J11" s="147"/>
      <c r="K11" s="148"/>
      <c r="L11" s="147"/>
      <c r="M11" s="56"/>
      <c r="N11" s="147"/>
      <c r="O11" s="59"/>
      <c r="P11" s="279"/>
      <c r="Q11" s="160"/>
      <c r="R11" s="149"/>
      <c r="S11" s="149"/>
      <c r="T11" s="149"/>
      <c r="U11" s="150"/>
      <c r="V11" s="150"/>
      <c r="W11" s="150"/>
      <c r="X11" s="150"/>
      <c r="Y11" s="151"/>
      <c r="Z11" s="143"/>
      <c r="AA11" s="144"/>
      <c r="AB11" s="143"/>
      <c r="AC11" s="145"/>
      <c r="AD11" s="146"/>
      <c r="AE11" s="276"/>
      <c r="AF11" s="152"/>
      <c r="AG11" s="147"/>
      <c r="AH11" s="636"/>
      <c r="AI11" s="645"/>
      <c r="AJ11" s="269"/>
      <c r="AK11" s="626"/>
      <c r="AL11" s="147"/>
      <c r="AM11" s="655"/>
      <c r="AN11" s="154"/>
      <c r="AO11" s="156"/>
      <c r="AP11" s="155"/>
      <c r="AQ11" s="155"/>
      <c r="AR11" s="155"/>
      <c r="AS11" s="149"/>
      <c r="AT11" s="155"/>
      <c r="AU11" s="157"/>
      <c r="AV11" s="157"/>
      <c r="AW11" s="157"/>
      <c r="AX11" s="151"/>
    </row>
    <row r="12" spans="1:50" x14ac:dyDescent="0.2">
      <c r="A12" s="363" t="s">
        <v>337</v>
      </c>
      <c r="B12" s="364"/>
      <c r="C12" s="365"/>
      <c r="D12" s="366"/>
      <c r="E12" s="367"/>
      <c r="F12" s="367"/>
      <c r="G12" s="368"/>
      <c r="H12" s="368"/>
      <c r="I12" s="369"/>
      <c r="J12" s="368"/>
      <c r="K12" s="369"/>
      <c r="L12" s="368"/>
      <c r="M12" s="370"/>
      <c r="N12" s="368"/>
      <c r="O12" s="371"/>
      <c r="P12" s="372"/>
      <c r="Q12" s="373"/>
      <c r="R12" s="374"/>
      <c r="S12" s="374"/>
      <c r="T12" s="374"/>
      <c r="U12" s="375"/>
      <c r="V12" s="375"/>
      <c r="W12" s="375"/>
      <c r="X12" s="375"/>
      <c r="Y12" s="376"/>
      <c r="Z12" s="377"/>
      <c r="AA12" s="378"/>
      <c r="AB12" s="377"/>
      <c r="AC12" s="379"/>
      <c r="AD12" s="380"/>
      <c r="AE12" s="381"/>
      <c r="AF12" s="382"/>
      <c r="AG12" s="368"/>
      <c r="AH12" s="637"/>
      <c r="AI12" s="646"/>
      <c r="AJ12" s="383"/>
      <c r="AK12" s="627"/>
      <c r="AL12" s="368"/>
      <c r="AM12" s="656"/>
      <c r="AN12" s="345"/>
      <c r="AO12" s="686" t="s">
        <v>243</v>
      </c>
      <c r="AP12" s="346" t="s">
        <v>469</v>
      </c>
      <c r="AQ12" s="346" t="s">
        <v>474</v>
      </c>
      <c r="AR12" s="346" t="s">
        <v>192</v>
      </c>
      <c r="AS12" s="346"/>
      <c r="AT12" s="336"/>
      <c r="AU12" s="337"/>
      <c r="AV12" s="337"/>
      <c r="AW12" s="337"/>
      <c r="AX12" s="335"/>
    </row>
    <row r="13" spans="1:50" x14ac:dyDescent="0.2">
      <c r="A13" s="296"/>
      <c r="B13" s="339">
        <f t="shared" ca="1" si="13"/>
        <v>0</v>
      </c>
      <c r="C13" s="249">
        <f t="shared" ca="1" si="14"/>
        <v>0</v>
      </c>
      <c r="D13" s="246">
        <f ca="1">IF(AND(OR($Z13="",INGVAN="",$Z13&lt;=INGVAN),OR($Z13="",INGTOT="",$Z13&lt;=INGTOT),OR($AA13="",INGVAN="",$AA13&gt;=INGVAN),OR($AA13="",INGTOT="",$AA13&gt;=INGTOT)),1,0)</f>
        <v>1</v>
      </c>
      <c r="E13" s="247">
        <f t="shared" ca="1" si="15"/>
        <v>0</v>
      </c>
      <c r="F13" s="247">
        <f t="shared" ca="1" si="16"/>
        <v>1</v>
      </c>
      <c r="G13" s="147">
        <f ca="1">IF(AND(SI&lt;&gt;17,OR(ParBAL1="4.4",ParBAL2="4.4")),1,0)</f>
        <v>0</v>
      </c>
      <c r="H13" s="147"/>
      <c r="I13" s="148"/>
      <c r="J13" s="147"/>
      <c r="K13" s="148"/>
      <c r="L13" s="147">
        <f ca="1">IF(OR(TBRAND1=3,AND(G13=1,N13=0)),1,0)</f>
        <v>0</v>
      </c>
      <c r="M13" s="248">
        <f t="shared" ref="M13" ca="1" si="23">IF(AND(ParBAL1&lt;&gt;"",ParBAL1=P13),1,0)</f>
        <v>0</v>
      </c>
      <c r="N13" s="147">
        <f ca="1">IF(TBRAND2=3,1,0)</f>
        <v>0</v>
      </c>
      <c r="O13" s="249">
        <f t="shared" ref="O13" ca="1" si="24">IF(AND(ParBAL2&lt;&gt;"",ParBAL2=P13),1,0)</f>
        <v>0</v>
      </c>
      <c r="P13" s="291" t="s">
        <v>39</v>
      </c>
      <c r="Q13" s="160" t="s">
        <v>267</v>
      </c>
      <c r="R13" s="149"/>
      <c r="S13" s="149"/>
      <c r="T13" s="149"/>
      <c r="U13" s="150"/>
      <c r="V13" s="150"/>
      <c r="W13" s="150"/>
      <c r="X13" s="150"/>
      <c r="Y13" s="151"/>
      <c r="Z13" s="143"/>
      <c r="AA13" s="144">
        <f>IWTBAL-1</f>
        <v>45291</v>
      </c>
      <c r="AB13" s="143"/>
      <c r="AC13" s="145">
        <v>45241</v>
      </c>
      <c r="AD13" s="146"/>
      <c r="AE13" s="276" t="s">
        <v>124</v>
      </c>
      <c r="AF13" s="152" t="s">
        <v>454</v>
      </c>
      <c r="AG13" s="147"/>
      <c r="AH13" s="636"/>
      <c r="AI13" s="645"/>
      <c r="AJ13" s="269"/>
      <c r="AK13" s="626"/>
      <c r="AL13" s="147"/>
      <c r="AM13" s="655"/>
      <c r="AN13" s="324"/>
      <c r="AO13" s="349" t="str">
        <f t="shared" si="22"/>
        <v xml:space="preserve">Er geldt een continue meetverplichting (art 4.79). </v>
      </c>
      <c r="AP13" s="325" t="str">
        <f t="shared" si="19"/>
        <v>De kwaliteitsborging van het continue meetsysteem vindt plaats volgen NEN-EN 14181 (art. 4.78). Onder de voorwaarden van art. 4.81 4e lid zijn halfjaarlijkse (of geen) periodieke metingen door een geaccrediteerd laboratorium volgens NEN-EN 1911 toegestaan (art. 4.78 en 4.84).</v>
      </c>
      <c r="AQ13" s="325" t="str">
        <f t="shared" si="19"/>
        <v>De aangetoonde meetonzekerheid mag niet groter zijn dan 40% van de emissie-eis of 4 mg/Nm3 (art. 4.88).</v>
      </c>
      <c r="AR13"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25"/>
      <c r="AT13" s="155"/>
      <c r="AU13" s="157"/>
      <c r="AV13" s="157"/>
      <c r="AW13" s="157"/>
      <c r="AX13" s="151"/>
    </row>
    <row r="14" spans="1:50" x14ac:dyDescent="0.2">
      <c r="A14" s="584"/>
      <c r="B14" s="585"/>
      <c r="C14" s="586"/>
      <c r="D14" s="587"/>
      <c r="E14" s="588"/>
      <c r="F14" s="588"/>
      <c r="G14" s="589"/>
      <c r="H14" s="589"/>
      <c r="I14" s="590"/>
      <c r="J14" s="589"/>
      <c r="K14" s="590"/>
      <c r="L14" s="589"/>
      <c r="M14" s="591"/>
      <c r="N14" s="589"/>
      <c r="O14" s="592"/>
      <c r="P14" s="593"/>
      <c r="Q14" s="594"/>
      <c r="R14" s="595"/>
      <c r="S14" s="595"/>
      <c r="T14" s="595"/>
      <c r="U14" s="596"/>
      <c r="V14" s="596"/>
      <c r="W14" s="596"/>
      <c r="X14" s="596"/>
      <c r="Y14" s="597"/>
      <c r="Z14" s="598"/>
      <c r="AA14" s="599"/>
      <c r="AB14" s="598"/>
      <c r="AC14" s="600"/>
      <c r="AD14" s="601"/>
      <c r="AE14" s="602"/>
      <c r="AF14" s="603"/>
      <c r="AG14" s="589"/>
      <c r="AH14" s="638"/>
      <c r="AI14" s="647"/>
      <c r="AJ14" s="604"/>
      <c r="AK14" s="628"/>
      <c r="AL14" s="589"/>
      <c r="AM14" s="657"/>
      <c r="AN14" s="605"/>
      <c r="AO14" s="858"/>
      <c r="AP14" s="606"/>
      <c r="AQ14" s="606"/>
      <c r="AR14" s="606"/>
      <c r="AS14" s="595"/>
      <c r="AT14" s="606"/>
      <c r="AU14" s="607"/>
      <c r="AV14" s="607"/>
      <c r="AW14" s="607"/>
      <c r="AX14" s="597"/>
    </row>
    <row r="15" spans="1:50" x14ac:dyDescent="0.2">
      <c r="A15" s="393" t="s">
        <v>294</v>
      </c>
      <c r="B15" s="394"/>
      <c r="C15" s="395"/>
      <c r="D15" s="396"/>
      <c r="E15" s="397"/>
      <c r="F15" s="397"/>
      <c r="G15" s="398"/>
      <c r="H15" s="398"/>
      <c r="I15" s="399"/>
      <c r="J15" s="398"/>
      <c r="K15" s="399"/>
      <c r="L15" s="398"/>
      <c r="M15" s="400"/>
      <c r="N15" s="398"/>
      <c r="O15" s="401"/>
      <c r="P15" s="402"/>
      <c r="Q15" s="403"/>
      <c r="R15" s="404"/>
      <c r="S15" s="404"/>
      <c r="T15" s="404"/>
      <c r="U15" s="405"/>
      <c r="V15" s="405"/>
      <c r="W15" s="405"/>
      <c r="X15" s="405"/>
      <c r="Y15" s="406"/>
      <c r="Z15" s="407"/>
      <c r="AA15" s="408"/>
      <c r="AB15" s="407"/>
      <c r="AC15" s="409"/>
      <c r="AD15" s="410"/>
      <c r="AE15" s="411"/>
      <c r="AF15" s="412"/>
      <c r="AG15" s="398"/>
      <c r="AH15" s="639"/>
      <c r="AI15" s="648"/>
      <c r="AJ15" s="413"/>
      <c r="AK15" s="629"/>
      <c r="AL15" s="398"/>
      <c r="AM15" s="658"/>
      <c r="AN15" s="332"/>
      <c r="AO15" s="859" t="s">
        <v>426</v>
      </c>
      <c r="AP15" s="333" t="s">
        <v>467</v>
      </c>
      <c r="AQ15" s="333"/>
      <c r="AR15" s="333" t="s">
        <v>410</v>
      </c>
      <c r="AS15" s="333"/>
      <c r="AT15" s="330"/>
      <c r="AU15" s="331"/>
      <c r="AV15" s="331"/>
      <c r="AW15" s="331"/>
      <c r="AX15" s="328"/>
    </row>
    <row r="16" spans="1:50" x14ac:dyDescent="0.2">
      <c r="A16" s="295"/>
      <c r="B16" s="339">
        <f t="shared" ref="B16" ca="1" si="25">IF(AND(SUM(D16:K16,L16:M16)=COUNT(D16:K16,L16:M16),COUNT(D16:K16,L16:M16)&gt;0),ROW(B16),0)</f>
        <v>0</v>
      </c>
      <c r="C16" s="249">
        <f t="shared" ref="C16" ca="1" si="26">IF(AND(SUM(D16:K16,N16:O16)=COUNT(D16:K16,N16:O16),COUNT(D16:K16,N16:O16)&gt;0),ROW(B16),0)</f>
        <v>0</v>
      </c>
      <c r="D16" s="246">
        <f t="shared" ref="D16:D21" ca="1" si="27">IF(AND(OR($Z16="",INGVAN="",$Z16&lt;=INGVAN),OR($Z16="",INGTOT="",$Z16&lt;=INGTOT),OR($AA16="",INGVAN="",$AA16&gt;=INGVAN),OR($AA16="",INGTOT="",$AA16&gt;=INGTOT)),1,0)</f>
        <v>1</v>
      </c>
      <c r="E16" s="247">
        <f t="shared" ref="E16" ca="1" si="28">IF(AND(OR($AB16="",Tdatum&gt;=$AB16,AND(AB16&lt;&gt;"",ISNUMBER(FIND("j",LOWER(AD16))))),OR($AC16="",Tdatum&lt;=$AC16)),1,0)</f>
        <v>1</v>
      </c>
      <c r="F16" s="247">
        <f t="shared" ca="1" si="16"/>
        <v>1</v>
      </c>
      <c r="G16" s="147"/>
      <c r="H16" s="147"/>
      <c r="I16" s="148"/>
      <c r="J16" s="147"/>
      <c r="K16" s="148"/>
      <c r="L16" s="147">
        <f ca="1">IF(BRAND1=19,1,0)</f>
        <v>0</v>
      </c>
      <c r="M16" s="248">
        <f ca="1">IF(AND(ParBAL1&lt;&gt;"",ParBAL1=P16,ParBAL2="4.4"),1,0)</f>
        <v>0</v>
      </c>
      <c r="N16" s="147">
        <f ca="1">IF(BRAND2=19,1,0)</f>
        <v>0</v>
      </c>
      <c r="O16" s="249">
        <f ca="1">IF(AND(ParBAL2&lt;&gt;"",ParBAL2=P16,ParBAL1="4.4"),1,0)</f>
        <v>0</v>
      </c>
      <c r="P16" s="279" t="s">
        <v>40</v>
      </c>
      <c r="Q16" s="149" t="s">
        <v>460</v>
      </c>
      <c r="R16" s="149"/>
      <c r="S16" s="149"/>
      <c r="T16" s="149"/>
      <c r="U16" s="150"/>
      <c r="V16" s="150"/>
      <c r="W16" s="150"/>
      <c r="X16" s="150"/>
      <c r="Y16" s="151"/>
      <c r="Z16" s="143"/>
      <c r="AA16" s="144"/>
      <c r="AB16" s="143"/>
      <c r="AC16" s="145"/>
      <c r="AD16" s="146"/>
      <c r="AE16" s="276" t="s">
        <v>462</v>
      </c>
      <c r="AF16" s="152" t="s">
        <v>366</v>
      </c>
      <c r="AG16" s="147"/>
      <c r="AH16" s="636"/>
      <c r="AI16" s="645"/>
      <c r="AJ16" s="269"/>
      <c r="AK16" s="626"/>
      <c r="AL16" s="147"/>
      <c r="AM16" s="655"/>
      <c r="AN16" s="347"/>
      <c r="AO16" s="860"/>
      <c r="AP16" s="325"/>
      <c r="AQ16" s="325"/>
      <c r="AR16" s="325"/>
      <c r="AS16" s="348"/>
      <c r="AT16" s="149"/>
      <c r="AU16" s="150"/>
      <c r="AV16" s="150"/>
      <c r="AW16" s="150"/>
      <c r="AX16" s="151"/>
    </row>
    <row r="17" spans="1:50" x14ac:dyDescent="0.2">
      <c r="A17" s="295"/>
      <c r="B17" s="339">
        <f t="shared" ref="B17:B18" ca="1" si="29">IF(AND(SUM(D17:K17,L17:M17)=COUNT(D17:K17,L17:M17),COUNT(D17:K17,L17:M17)&gt;0),ROW(B17),0)</f>
        <v>0</v>
      </c>
      <c r="C17" s="249">
        <f t="shared" ref="C17:C18" ca="1" si="30">IF(AND(SUM(D17:K17,N17:O17)=COUNT(D17:K17,N17:O17),COUNT(D17:K17,N17:O17)&gt;0),ROW(B17),0)</f>
        <v>0</v>
      </c>
      <c r="D17" s="246">
        <f t="shared" ca="1" si="27"/>
        <v>1</v>
      </c>
      <c r="E17" s="247">
        <f t="shared" ca="1" si="15"/>
        <v>1</v>
      </c>
      <c r="F17" s="247">
        <f t="shared" ca="1" si="16"/>
        <v>1</v>
      </c>
      <c r="G17" s="147"/>
      <c r="H17" s="147"/>
      <c r="I17" s="148"/>
      <c r="J17" s="147"/>
      <c r="K17" s="148"/>
      <c r="L17" s="147">
        <f ca="1">IF(BRAND1=19,1,0)</f>
        <v>0</v>
      </c>
      <c r="M17" s="248">
        <f t="shared" ca="1" si="20"/>
        <v>0</v>
      </c>
      <c r="N17" s="147">
        <f ca="1">IF(BRAND2=19,1,0)</f>
        <v>0</v>
      </c>
      <c r="O17" s="249">
        <f t="shared" ca="1" si="21"/>
        <v>0</v>
      </c>
      <c r="P17" s="279" t="s">
        <v>40</v>
      </c>
      <c r="Q17" s="149" t="s">
        <v>9</v>
      </c>
      <c r="R17" s="149" t="s">
        <v>455</v>
      </c>
      <c r="S17" s="149"/>
      <c r="T17" s="149"/>
      <c r="U17" s="150"/>
      <c r="V17" s="150"/>
      <c r="W17" s="150"/>
      <c r="X17" s="150"/>
      <c r="Y17" s="151"/>
      <c r="Z17" s="143">
        <v>36463</v>
      </c>
      <c r="AA17" s="144"/>
      <c r="AB17" s="143"/>
      <c r="AC17" s="145"/>
      <c r="AD17" s="146"/>
      <c r="AE17" s="276" t="s">
        <v>409</v>
      </c>
      <c r="AF17" s="152" t="s">
        <v>372</v>
      </c>
      <c r="AG17" s="147"/>
      <c r="AH17" s="636"/>
      <c r="AI17" s="645"/>
      <c r="AJ17" s="269"/>
      <c r="AK17" s="626"/>
      <c r="AL17" s="147"/>
      <c r="AM17" s="655"/>
      <c r="AN17" s="347"/>
      <c r="AO17" s="860" t="str">
        <f t="shared" ref="AO17:AR21" si="31">AO$15</f>
        <v>Er geldt een periodiek meetverplichting van eens per jaar (art 4.41a).</v>
      </c>
      <c r="AP17" s="325" t="str">
        <f t="shared" si="31"/>
        <v xml:space="preserve">Een periodieke meting bestaat uit drie deelmetingen van ten minste 30 minuten. De metingen worden uitgevoerd door een geaccrediteerd laboratorium volgens NEN-EN 1911 (art. 4.40 en 4.48). </v>
      </c>
      <c r="AQ17" s="325"/>
      <c r="AR17" s="325"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7" s="348"/>
      <c r="AT17" s="149"/>
      <c r="AU17" s="150"/>
      <c r="AV17" s="150"/>
      <c r="AW17" s="150"/>
      <c r="AX17" s="151"/>
    </row>
    <row r="18" spans="1:50" x14ac:dyDescent="0.2">
      <c r="A18" s="295"/>
      <c r="B18" s="339">
        <f t="shared" ca="1" si="29"/>
        <v>0</v>
      </c>
      <c r="C18" s="249">
        <f t="shared" ca="1" si="30"/>
        <v>0</v>
      </c>
      <c r="D18" s="246">
        <f t="shared" ca="1" si="27"/>
        <v>0</v>
      </c>
      <c r="E18" s="247">
        <f t="shared" ca="1" si="15"/>
        <v>1</v>
      </c>
      <c r="F18" s="247">
        <f t="shared" ca="1" si="16"/>
        <v>1</v>
      </c>
      <c r="G18" s="147"/>
      <c r="H18" s="147"/>
      <c r="I18" s="148"/>
      <c r="J18" s="147"/>
      <c r="K18" s="148"/>
      <c r="L18" s="147">
        <f ca="1">IF(BRAND1=19,1,0)</f>
        <v>0</v>
      </c>
      <c r="M18" s="248">
        <f t="shared" ca="1" si="20"/>
        <v>0</v>
      </c>
      <c r="N18" s="147">
        <f ca="1">IF(BRAND2=19,1,0)</f>
        <v>0</v>
      </c>
      <c r="O18" s="249">
        <f t="shared" ca="1" si="21"/>
        <v>0</v>
      </c>
      <c r="P18" s="279" t="s">
        <v>40</v>
      </c>
      <c r="Q18" s="149" t="s">
        <v>456</v>
      </c>
      <c r="R18" s="149" t="s">
        <v>455</v>
      </c>
      <c r="S18" s="149"/>
      <c r="T18" s="149"/>
      <c r="U18" s="150"/>
      <c r="V18" s="150"/>
      <c r="W18" s="150"/>
      <c r="X18" s="150"/>
      <c r="Y18" s="151"/>
      <c r="Z18" s="143"/>
      <c r="AA18" s="144">
        <v>36463</v>
      </c>
      <c r="AB18" s="143"/>
      <c r="AC18" s="145"/>
      <c r="AD18" s="146"/>
      <c r="AE18" s="276" t="s">
        <v>409</v>
      </c>
      <c r="AF18" s="152" t="s">
        <v>457</v>
      </c>
      <c r="AG18" s="147"/>
      <c r="AH18" s="636"/>
      <c r="AI18" s="645"/>
      <c r="AJ18" s="269"/>
      <c r="AK18" s="626"/>
      <c r="AL18" s="147"/>
      <c r="AM18" s="655"/>
      <c r="AN18" s="324"/>
      <c r="AO18" s="349" t="str">
        <f t="shared" si="31"/>
        <v>Er geldt een periodiek meetverplichting van eens per jaar (art 4.41a).</v>
      </c>
      <c r="AP18" s="325" t="str">
        <f t="shared" si="31"/>
        <v xml:space="preserve">Een periodieke meting bestaat uit drie deelmetingen van ten minste 30 minuten. De metingen worden uitgevoerd door een geaccrediteerd laboratorium volgens NEN-EN 1911 (art. 4.40 en 4.48). </v>
      </c>
      <c r="AQ18" s="325"/>
      <c r="AR18" s="325"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8" s="325"/>
      <c r="AT18" s="149"/>
      <c r="AU18" s="150"/>
      <c r="AV18" s="150"/>
      <c r="AW18" s="150"/>
      <c r="AX18" s="158"/>
    </row>
    <row r="19" spans="1:50" x14ac:dyDescent="0.2">
      <c r="A19" s="295"/>
      <c r="B19" s="339">
        <f t="shared" ref="B19:B20" ca="1" si="32">IF(AND(SUM(D19:K19,L19:M19)=COUNT(D19:K19,L19:M19),COUNT(D19:K19,L19:M19)&gt;0),ROW(B19),0)</f>
        <v>0</v>
      </c>
      <c r="C19" s="249">
        <f t="shared" ref="C19:C20" ca="1" si="33">IF(AND(SUM(D19:K19,N19:O19)=COUNT(D19:K19,N19:O19),COUNT(D19:K19,N19:O19)&gt;0),ROW(B19),0)</f>
        <v>0</v>
      </c>
      <c r="D19" s="246">
        <f t="shared" ca="1" si="27"/>
        <v>1</v>
      </c>
      <c r="E19" s="247">
        <f t="shared" ref="E19:E20" ca="1" si="34">IF(AND(OR($AB19="",Tdatum&gt;=$AB19,AND(AB19&lt;&gt;"",ISNUMBER(FIND("j",LOWER(AD19))))),OR($AC19="",Tdatum&lt;=$AC19)),1,0)</f>
        <v>1</v>
      </c>
      <c r="F19" s="247">
        <f t="shared" ca="1" si="16"/>
        <v>1</v>
      </c>
      <c r="G19" s="147"/>
      <c r="H19" s="147"/>
      <c r="I19" s="148"/>
      <c r="J19" s="147"/>
      <c r="K19" s="148"/>
      <c r="L19" s="147">
        <f ca="1">IF(OR(BRAND1=8,BRAND1=9,BRAND1=10),1,0)</f>
        <v>0</v>
      </c>
      <c r="M19" s="248">
        <f t="shared" ref="M19" ca="1" si="35">IF(AND(ParBAL1&lt;&gt;"",ParBAL1=P19),1,0)</f>
        <v>0</v>
      </c>
      <c r="N19" s="147">
        <f ca="1">IF(OR(BRAND2=8,BRAND2=9,BRAND2=10),1,0)</f>
        <v>0</v>
      </c>
      <c r="O19" s="249">
        <f t="shared" ref="O19" ca="1" si="36">IF(AND(ParBAL2&lt;&gt;"",ParBAL2=P19),1,0)</f>
        <v>0</v>
      </c>
      <c r="P19" s="279" t="s">
        <v>40</v>
      </c>
      <c r="Q19" s="149" t="s">
        <v>458</v>
      </c>
      <c r="R19" s="149" t="s">
        <v>418</v>
      </c>
      <c r="S19" s="149"/>
      <c r="T19" s="149">
        <v>100</v>
      </c>
      <c r="U19" s="150"/>
      <c r="V19" s="150"/>
      <c r="W19" s="150"/>
      <c r="X19" s="150"/>
      <c r="Y19" s="151"/>
      <c r="Z19" s="143"/>
      <c r="AA19" s="144"/>
      <c r="AB19" s="143"/>
      <c r="AC19" s="145"/>
      <c r="AD19" s="146"/>
      <c r="AE19" s="276" t="s">
        <v>409</v>
      </c>
      <c r="AF19" s="152" t="s">
        <v>454</v>
      </c>
      <c r="AG19" s="147"/>
      <c r="AH19" s="636" t="s">
        <v>461</v>
      </c>
      <c r="AI19" s="645"/>
      <c r="AJ19" s="269"/>
      <c r="AK19" s="626"/>
      <c r="AL19" s="147"/>
      <c r="AM19" s="655"/>
      <c r="AN19" s="324"/>
      <c r="AO19" s="349" t="s">
        <v>465</v>
      </c>
      <c r="AP19" s="325" t="str">
        <f t="shared" si="31"/>
        <v xml:space="preserve">Een periodieke meting bestaat uit drie deelmetingen van ten minste 30 minuten. De metingen worden uitgevoerd door een geaccrediteerd laboratorium volgens NEN-EN 1911 (art. 4.40 en 4.48). </v>
      </c>
      <c r="AQ19" s="325"/>
      <c r="AR19" s="325"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9" s="325"/>
      <c r="AT19" s="149"/>
      <c r="AU19" s="150"/>
      <c r="AV19" s="150"/>
      <c r="AW19" s="150"/>
      <c r="AX19" s="158"/>
    </row>
    <row r="20" spans="1:50" x14ac:dyDescent="0.2">
      <c r="A20" s="295"/>
      <c r="B20" s="339">
        <f t="shared" ca="1" si="32"/>
        <v>0</v>
      </c>
      <c r="C20" s="249">
        <f t="shared" ca="1" si="33"/>
        <v>0</v>
      </c>
      <c r="D20" s="246">
        <f t="shared" ca="1" si="27"/>
        <v>1</v>
      </c>
      <c r="E20" s="247">
        <f t="shared" ca="1" si="34"/>
        <v>1</v>
      </c>
      <c r="F20" s="247">
        <f t="shared" ca="1" si="16"/>
        <v>0</v>
      </c>
      <c r="G20" s="147"/>
      <c r="H20" s="147"/>
      <c r="I20" s="148"/>
      <c r="J20" s="147"/>
      <c r="K20" s="148"/>
      <c r="L20" s="147">
        <f ca="1">IF(OR(BRAND1=8,BRAND1=9,BRAND1=10),1,0)</f>
        <v>0</v>
      </c>
      <c r="M20" s="248">
        <f t="shared" ref="M20:M21" ca="1" si="37">IF(AND(ParBAL1&lt;&gt;"",ParBAL1=P20),1,0)</f>
        <v>0</v>
      </c>
      <c r="N20" s="147">
        <f ca="1">IF(OR(BRAND2=8,BRAND2=9,BRAND2=10),1,0)</f>
        <v>0</v>
      </c>
      <c r="O20" s="249">
        <f t="shared" ref="O20:O21" ca="1" si="38">IF(AND(ParBAL2&lt;&gt;"",ParBAL2=P20),1,0)</f>
        <v>0</v>
      </c>
      <c r="P20" s="279" t="s">
        <v>40</v>
      </c>
      <c r="Q20" s="149" t="s">
        <v>9</v>
      </c>
      <c r="R20" s="149" t="s">
        <v>418</v>
      </c>
      <c r="S20" s="149">
        <v>100</v>
      </c>
      <c r="T20" s="149"/>
      <c r="U20" s="150"/>
      <c r="V20" s="150"/>
      <c r="W20" s="150"/>
      <c r="X20" s="150"/>
      <c r="Y20" s="151"/>
      <c r="Z20" s="143"/>
      <c r="AA20" s="144"/>
      <c r="AB20" s="143"/>
      <c r="AC20" s="145"/>
      <c r="AD20" s="146"/>
      <c r="AE20" s="276" t="s">
        <v>409</v>
      </c>
      <c r="AF20" s="152" t="s">
        <v>454</v>
      </c>
      <c r="AG20" s="147"/>
      <c r="AH20" s="636"/>
      <c r="AI20" s="645"/>
      <c r="AJ20" s="269"/>
      <c r="AK20" s="626"/>
      <c r="AL20" s="147"/>
      <c r="AM20" s="655"/>
      <c r="AN20" s="324"/>
      <c r="AO20" s="349" t="s">
        <v>465</v>
      </c>
      <c r="AP20" s="325" t="str">
        <f t="shared" si="31"/>
        <v xml:space="preserve">Een periodieke meting bestaat uit drie deelmetingen van ten minste 30 minuten. De metingen worden uitgevoerd door een geaccrediteerd laboratorium volgens NEN-EN 1911 (art. 4.40 en 4.48). </v>
      </c>
      <c r="AQ20" s="325"/>
      <c r="AR20" s="325"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20" s="325"/>
      <c r="AT20" s="149"/>
      <c r="AU20" s="150"/>
      <c r="AV20" s="150"/>
      <c r="AW20" s="150"/>
      <c r="AX20" s="158"/>
    </row>
    <row r="21" spans="1:50" x14ac:dyDescent="0.2">
      <c r="A21" s="295"/>
      <c r="B21" s="339">
        <f t="shared" ref="B21" ca="1" si="39">IF(AND(SUM(D21:K21,L21:M21)=COUNT(D21:K21,L21:M21),COUNT(D21:K21,L21:M21)&gt;0),ROW(B21),0)</f>
        <v>0</v>
      </c>
      <c r="C21" s="249">
        <f t="shared" ref="C21" ca="1" si="40">IF(AND(SUM(D21:K21,N21:O21)=COUNT(D21:K21,N21:O21),COUNT(D21:K21,N21:O21)&gt;0),ROW(B21),0)</f>
        <v>0</v>
      </c>
      <c r="D21" s="246">
        <f t="shared" ca="1" si="27"/>
        <v>1</v>
      </c>
      <c r="E21" s="247">
        <f t="shared" ref="E21" ca="1" si="41">IF(AND(OR($AB21="",Tdatum&gt;=$AB21,AND(AB21&lt;&gt;"",ISNUMBER(FIND("j",LOWER(AD21))))),OR($AC21="",Tdatum&lt;=$AC21)),1,0)</f>
        <v>1</v>
      </c>
      <c r="F21" s="247">
        <f t="shared" ca="1" si="16"/>
        <v>1</v>
      </c>
      <c r="G21" s="147"/>
      <c r="H21" s="147"/>
      <c r="I21" s="148"/>
      <c r="J21" s="147"/>
      <c r="K21" s="148"/>
      <c r="L21" s="147">
        <f ca="1">IF(AND(FBRAND1="s",BRAND1&lt;&gt;8,BRAND1&lt;&gt;9,BRAND1&lt;&gt;10),1,0)</f>
        <v>0</v>
      </c>
      <c r="M21" s="248">
        <f t="shared" ca="1" si="37"/>
        <v>0</v>
      </c>
      <c r="N21" s="147">
        <f ca="1">IF(AND(FBRAND2="s",BRAND2&lt;&gt;8,BRAND2&lt;&gt;9,BRAND2&lt;&gt;10),1,0)</f>
        <v>0</v>
      </c>
      <c r="O21" s="249">
        <f t="shared" ca="1" si="38"/>
        <v>0</v>
      </c>
      <c r="P21" s="279" t="s">
        <v>40</v>
      </c>
      <c r="Q21" s="149" t="s">
        <v>9</v>
      </c>
      <c r="R21" s="149" t="s">
        <v>459</v>
      </c>
      <c r="S21" s="149"/>
      <c r="T21" s="149"/>
      <c r="U21" s="150"/>
      <c r="V21" s="150"/>
      <c r="W21" s="150"/>
      <c r="X21" s="150"/>
      <c r="Y21" s="151"/>
      <c r="Z21" s="143"/>
      <c r="AA21" s="144"/>
      <c r="AB21" s="143"/>
      <c r="AC21" s="145"/>
      <c r="AD21" s="146"/>
      <c r="AE21" s="276" t="s">
        <v>409</v>
      </c>
      <c r="AF21" s="152" t="s">
        <v>389</v>
      </c>
      <c r="AG21" s="147"/>
      <c r="AH21" s="636"/>
      <c r="AI21" s="645"/>
      <c r="AJ21" s="269"/>
      <c r="AK21" s="626"/>
      <c r="AL21" s="147"/>
      <c r="AM21" s="655"/>
      <c r="AN21" s="324"/>
      <c r="AO21" s="349" t="str">
        <f t="shared" si="31"/>
        <v>Er geldt een periodiek meetverplichting van eens per jaar (art 4.41a).</v>
      </c>
      <c r="AP21" s="325" t="str">
        <f t="shared" si="31"/>
        <v xml:space="preserve">Een periodieke meting bestaat uit drie deelmetingen van ten minste 30 minuten. De metingen worden uitgevoerd door een geaccrediteerd laboratorium volgens NEN-EN 1911 (art. 4.40 en 4.48). </v>
      </c>
      <c r="AQ21" s="325"/>
      <c r="AR21" s="325"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21" s="325"/>
      <c r="AT21" s="149"/>
      <c r="AU21" s="150"/>
      <c r="AV21" s="150"/>
      <c r="AW21" s="150"/>
      <c r="AX21" s="158"/>
    </row>
    <row r="22" spans="1:50" x14ac:dyDescent="0.2">
      <c r="A22" s="295"/>
      <c r="B22" s="340"/>
      <c r="C22" s="341"/>
      <c r="D22" s="326"/>
      <c r="E22" s="46"/>
      <c r="F22" s="46"/>
      <c r="G22" s="147"/>
      <c r="H22" s="147"/>
      <c r="I22" s="148"/>
      <c r="J22" s="147"/>
      <c r="K22" s="148"/>
      <c r="L22" s="147"/>
      <c r="M22" s="56"/>
      <c r="N22" s="147"/>
      <c r="O22" s="59"/>
      <c r="P22" s="279"/>
      <c r="Q22" s="160"/>
      <c r="R22" s="149"/>
      <c r="S22" s="149"/>
      <c r="T22" s="149"/>
      <c r="U22" s="150"/>
      <c r="V22" s="150"/>
      <c r="W22" s="150"/>
      <c r="X22" s="150"/>
      <c r="Y22" s="151"/>
      <c r="Z22" s="143"/>
      <c r="AA22" s="144"/>
      <c r="AB22" s="143"/>
      <c r="AC22" s="145"/>
      <c r="AD22" s="146"/>
      <c r="AE22" s="276"/>
      <c r="AF22" s="152"/>
      <c r="AG22" s="147"/>
      <c r="AH22" s="636"/>
      <c r="AI22" s="645"/>
      <c r="AJ22" s="269"/>
      <c r="AK22" s="626"/>
      <c r="AL22" s="147"/>
      <c r="AM22" s="655"/>
      <c r="AN22" s="683"/>
      <c r="AO22" s="685"/>
      <c r="AP22" s="684"/>
      <c r="AQ22" s="684"/>
      <c r="AR22" s="684"/>
      <c r="AS22" s="149"/>
      <c r="AT22" s="155"/>
      <c r="AU22" s="157"/>
      <c r="AV22" s="157"/>
      <c r="AW22" s="157"/>
      <c r="AX22" s="151"/>
    </row>
    <row r="23" spans="1:50" x14ac:dyDescent="0.2">
      <c r="A23" s="363" t="s">
        <v>338</v>
      </c>
      <c r="B23" s="364"/>
      <c r="C23" s="365"/>
      <c r="D23" s="366"/>
      <c r="E23" s="367"/>
      <c r="F23" s="367"/>
      <c r="G23" s="368"/>
      <c r="H23" s="368"/>
      <c r="I23" s="369"/>
      <c r="J23" s="368"/>
      <c r="K23" s="369"/>
      <c r="L23" s="368"/>
      <c r="M23" s="370"/>
      <c r="N23" s="368"/>
      <c r="O23" s="371"/>
      <c r="P23" s="372"/>
      <c r="Q23" s="373"/>
      <c r="R23" s="374"/>
      <c r="S23" s="374"/>
      <c r="T23" s="374"/>
      <c r="U23" s="375"/>
      <c r="V23" s="375"/>
      <c r="W23" s="375"/>
      <c r="X23" s="375"/>
      <c r="Y23" s="376"/>
      <c r="Z23" s="377"/>
      <c r="AA23" s="378"/>
      <c r="AB23" s="377"/>
      <c r="AC23" s="379"/>
      <c r="AD23" s="380"/>
      <c r="AE23" s="381"/>
      <c r="AF23" s="382"/>
      <c r="AG23" s="368"/>
      <c r="AH23" s="637"/>
      <c r="AI23" s="646"/>
      <c r="AJ23" s="383"/>
      <c r="AK23" s="627"/>
      <c r="AL23" s="368"/>
      <c r="AM23" s="656"/>
      <c r="AN23" s="332"/>
      <c r="AO23" s="859" t="s">
        <v>426</v>
      </c>
      <c r="AP23" s="333" t="s">
        <v>427</v>
      </c>
      <c r="AQ23" s="333"/>
      <c r="AR23" s="333" t="s">
        <v>410</v>
      </c>
      <c r="AS23" s="346"/>
      <c r="AT23" s="336"/>
      <c r="AU23" s="337"/>
      <c r="AV23" s="337"/>
      <c r="AW23" s="337"/>
      <c r="AX23" s="335"/>
    </row>
    <row r="24" spans="1:50" x14ac:dyDescent="0.2">
      <c r="A24" s="584"/>
      <c r="B24" s="585"/>
      <c r="C24" s="586"/>
      <c r="D24" s="587"/>
      <c r="E24" s="588"/>
      <c r="F24" s="588"/>
      <c r="G24" s="589"/>
      <c r="H24" s="589"/>
      <c r="I24" s="590"/>
      <c r="J24" s="589"/>
      <c r="K24" s="590"/>
      <c r="L24" s="589"/>
      <c r="M24" s="591"/>
      <c r="N24" s="589"/>
      <c r="O24" s="592"/>
      <c r="P24" s="593"/>
      <c r="Q24" s="594"/>
      <c r="R24" s="595"/>
      <c r="S24" s="595"/>
      <c r="T24" s="595"/>
      <c r="U24" s="596"/>
      <c r="V24" s="596"/>
      <c r="W24" s="596"/>
      <c r="X24" s="596"/>
      <c r="Y24" s="597"/>
      <c r="Z24" s="598"/>
      <c r="AA24" s="599"/>
      <c r="AB24" s="598"/>
      <c r="AC24" s="600"/>
      <c r="AD24" s="601"/>
      <c r="AE24" s="602"/>
      <c r="AF24" s="603"/>
      <c r="AG24" s="589"/>
      <c r="AH24" s="638"/>
      <c r="AI24" s="647"/>
      <c r="AJ24" s="604"/>
      <c r="AK24" s="628"/>
      <c r="AL24" s="589"/>
      <c r="AM24" s="657"/>
      <c r="AN24" s="605"/>
      <c r="AO24" s="858"/>
      <c r="AP24" s="606"/>
      <c r="AQ24" s="606"/>
      <c r="AR24" s="606"/>
      <c r="AS24" s="595"/>
      <c r="AT24" s="606"/>
      <c r="AU24" s="607"/>
      <c r="AV24" s="607"/>
      <c r="AW24" s="607"/>
      <c r="AX24" s="597"/>
    </row>
    <row r="25" spans="1:50" x14ac:dyDescent="0.2">
      <c r="A25" s="393" t="s">
        <v>293</v>
      </c>
      <c r="B25" s="394"/>
      <c r="C25" s="395"/>
      <c r="D25" s="396"/>
      <c r="E25" s="397"/>
      <c r="F25" s="397"/>
      <c r="G25" s="398"/>
      <c r="H25" s="398"/>
      <c r="I25" s="399"/>
      <c r="J25" s="398"/>
      <c r="K25" s="399"/>
      <c r="L25" s="398"/>
      <c r="M25" s="400"/>
      <c r="N25" s="398"/>
      <c r="O25" s="401"/>
      <c r="P25" s="402"/>
      <c r="Q25" s="403"/>
      <c r="R25" s="404"/>
      <c r="S25" s="404"/>
      <c r="T25" s="404"/>
      <c r="U25" s="405"/>
      <c r="V25" s="405"/>
      <c r="W25" s="405"/>
      <c r="X25" s="405"/>
      <c r="Y25" s="406"/>
      <c r="Z25" s="407"/>
      <c r="AA25" s="408"/>
      <c r="AB25" s="407"/>
      <c r="AC25" s="409"/>
      <c r="AD25" s="410"/>
      <c r="AE25" s="411"/>
      <c r="AF25" s="412"/>
      <c r="AG25" s="398"/>
      <c r="AH25" s="639"/>
      <c r="AI25" s="648"/>
      <c r="AJ25" s="413"/>
      <c r="AK25" s="629"/>
      <c r="AL25" s="398"/>
      <c r="AM25" s="658"/>
      <c r="AN25" s="332"/>
      <c r="AO25" s="859"/>
      <c r="AP25" s="333"/>
      <c r="AQ25" s="333"/>
      <c r="AR25" s="333"/>
      <c r="AS25" s="327"/>
      <c r="AT25" s="330"/>
      <c r="AU25" s="331"/>
      <c r="AV25" s="331"/>
      <c r="AW25" s="331"/>
      <c r="AX25" s="328"/>
    </row>
    <row r="26" spans="1:50" x14ac:dyDescent="0.2">
      <c r="A26" s="295"/>
      <c r="B26" s="339">
        <f t="shared" ref="B26" ca="1" si="42">IF(AND(SUM(D26:K26,L26:M26)=COUNT(D26:K26,L26:M26),COUNT(D26:K26,L26:M26)&gt;0),ROW(B26),0)</f>
        <v>0</v>
      </c>
      <c r="C26" s="249">
        <f t="shared" ref="C26" ca="1" si="43">IF(AND(SUM(D26:K26,N26:O26)=COUNT(D26:K26,N26:O26),COUNT(D26:K26,N26:O26)&gt;0),ROW(B26),0)</f>
        <v>0</v>
      </c>
      <c r="D26" s="246">
        <f t="shared" ref="D26" ca="1" si="44">IF(AND(OR($Z26="",INGVAN="",$Z26&lt;=INGVAN),OR($Z26="",INGTOT="",$Z26&lt;=INGTOT),OR($AA26="",INGVAN="",$AA26&gt;=INGVAN),OR($AA26="",INGTOT="",$AA26&gt;=INGTOT)),1,0)</f>
        <v>1</v>
      </c>
      <c r="E26" s="247">
        <f t="shared" ref="E26" ca="1" si="45">IF(AND(OR($AB26="",Tdatum&gt;=$AB26,AND(AB26&lt;&gt;"",ISNUMBER(FIND("j",LOWER(AD26))))),OR($AC26="",Tdatum&lt;=$AC26)),1,0)</f>
        <v>1</v>
      </c>
      <c r="F26" s="247">
        <f t="shared" ca="1" si="16"/>
        <v>1</v>
      </c>
      <c r="G26" s="147"/>
      <c r="H26" s="147"/>
      <c r="I26" s="148"/>
      <c r="J26" s="147"/>
      <c r="K26" s="148"/>
      <c r="L26" s="147"/>
      <c r="M26" s="248">
        <f ca="1">IF(AND(ParBAL1&lt;&gt;"",ParBAL1=P26,ParBAL2="4.4"),1,0)</f>
        <v>0</v>
      </c>
      <c r="N26" s="147"/>
      <c r="O26" s="249">
        <f ca="1">IF(AND(ParBAL2&lt;&gt;"",ParBAL2=P26,ParBAL1="4.4"),1,0)</f>
        <v>0</v>
      </c>
      <c r="P26" s="279" t="s">
        <v>106</v>
      </c>
      <c r="Q26" s="149" t="s">
        <v>463</v>
      </c>
      <c r="R26" s="149"/>
      <c r="S26" s="149"/>
      <c r="T26" s="149"/>
      <c r="U26" s="150"/>
      <c r="V26" s="150"/>
      <c r="W26" s="150"/>
      <c r="X26" s="150"/>
      <c r="Y26" s="151"/>
      <c r="Z26" s="143"/>
      <c r="AA26" s="144"/>
      <c r="AB26" s="143"/>
      <c r="AC26" s="145"/>
      <c r="AD26" s="146"/>
      <c r="AE26" s="276" t="s">
        <v>462</v>
      </c>
      <c r="AF26" s="152" t="s">
        <v>366</v>
      </c>
      <c r="AG26" s="147"/>
      <c r="AH26" s="636"/>
      <c r="AI26" s="645"/>
      <c r="AJ26" s="269"/>
      <c r="AK26" s="626"/>
      <c r="AL26" s="147"/>
      <c r="AM26" s="655"/>
      <c r="AN26" s="347"/>
      <c r="AO26" s="860"/>
      <c r="AP26" s="325"/>
      <c r="AQ26" s="325"/>
      <c r="AR26" s="325"/>
      <c r="AS26" s="348"/>
      <c r="AT26" s="149"/>
      <c r="AU26" s="150"/>
      <c r="AV26" s="150"/>
      <c r="AW26" s="150"/>
      <c r="AX26" s="151"/>
    </row>
    <row r="27" spans="1:50" x14ac:dyDescent="0.2">
      <c r="A27" s="295"/>
      <c r="B27" s="340"/>
      <c r="C27" s="341"/>
      <c r="D27" s="326"/>
      <c r="E27" s="46"/>
      <c r="F27" s="46"/>
      <c r="G27" s="147"/>
      <c r="H27" s="147"/>
      <c r="I27" s="148"/>
      <c r="J27" s="147"/>
      <c r="K27" s="148"/>
      <c r="L27" s="147"/>
      <c r="M27" s="56"/>
      <c r="N27" s="147"/>
      <c r="O27" s="59"/>
      <c r="P27" s="279"/>
      <c r="Q27" s="160"/>
      <c r="R27" s="149"/>
      <c r="S27" s="149"/>
      <c r="T27" s="149"/>
      <c r="U27" s="150"/>
      <c r="V27" s="150"/>
      <c r="W27" s="150"/>
      <c r="X27" s="150"/>
      <c r="Y27" s="151"/>
      <c r="Z27" s="143"/>
      <c r="AA27" s="144"/>
      <c r="AB27" s="143"/>
      <c r="AC27" s="145"/>
      <c r="AD27" s="146"/>
      <c r="AE27" s="276"/>
      <c r="AF27" s="152"/>
      <c r="AG27" s="147"/>
      <c r="AH27" s="636"/>
      <c r="AI27" s="645"/>
      <c r="AJ27" s="269"/>
      <c r="AK27" s="626"/>
      <c r="AL27" s="147"/>
      <c r="AM27" s="636"/>
      <c r="AN27" s="683"/>
      <c r="AO27" s="685"/>
      <c r="AP27" s="684"/>
      <c r="AQ27" s="684"/>
      <c r="AR27" s="684"/>
      <c r="AS27" s="149"/>
      <c r="AT27" s="155"/>
      <c r="AU27" s="157"/>
      <c r="AV27" s="157"/>
      <c r="AW27" s="157"/>
      <c r="AX27" s="151"/>
    </row>
    <row r="28" spans="1:50" x14ac:dyDescent="0.2">
      <c r="A28" s="363" t="s">
        <v>339</v>
      </c>
      <c r="B28" s="364"/>
      <c r="C28" s="365"/>
      <c r="D28" s="366"/>
      <c r="E28" s="367"/>
      <c r="F28" s="367"/>
      <c r="G28" s="368"/>
      <c r="H28" s="368"/>
      <c r="I28" s="369"/>
      <c r="J28" s="368"/>
      <c r="K28" s="369"/>
      <c r="L28" s="368"/>
      <c r="M28" s="370"/>
      <c r="N28" s="368"/>
      <c r="O28" s="371"/>
      <c r="P28" s="372"/>
      <c r="Q28" s="373"/>
      <c r="R28" s="374"/>
      <c r="S28" s="374"/>
      <c r="T28" s="374"/>
      <c r="U28" s="375"/>
      <c r="V28" s="375"/>
      <c r="W28" s="375"/>
      <c r="X28" s="375"/>
      <c r="Y28" s="376"/>
      <c r="Z28" s="377"/>
      <c r="AA28" s="378"/>
      <c r="AB28" s="377"/>
      <c r="AC28" s="379"/>
      <c r="AD28" s="380"/>
      <c r="AE28" s="381"/>
      <c r="AF28" s="382"/>
      <c r="AG28" s="368"/>
      <c r="AH28" s="637"/>
      <c r="AI28" s="646"/>
      <c r="AJ28" s="383"/>
      <c r="AK28" s="627"/>
      <c r="AL28" s="368"/>
      <c r="AM28" s="637"/>
      <c r="AN28" s="345"/>
      <c r="AO28" s="686"/>
      <c r="AP28" s="346"/>
      <c r="AQ28" s="346"/>
      <c r="AR28" s="346"/>
      <c r="AS28" s="346"/>
      <c r="AT28" s="336"/>
      <c r="AU28" s="337"/>
      <c r="AV28" s="337"/>
      <c r="AW28" s="337"/>
      <c r="AX28" s="335"/>
    </row>
    <row r="29" spans="1:50" x14ac:dyDescent="0.2">
      <c r="A29" s="584"/>
      <c r="B29" s="585"/>
      <c r="C29" s="586"/>
      <c r="D29" s="587"/>
      <c r="E29" s="588"/>
      <c r="F29" s="588"/>
      <c r="G29" s="589"/>
      <c r="H29" s="589"/>
      <c r="I29" s="590"/>
      <c r="J29" s="589"/>
      <c r="K29" s="590"/>
      <c r="L29" s="589"/>
      <c r="M29" s="591"/>
      <c r="N29" s="589"/>
      <c r="O29" s="592"/>
      <c r="P29" s="593"/>
      <c r="Q29" s="594"/>
      <c r="R29" s="595"/>
      <c r="S29" s="595"/>
      <c r="T29" s="595"/>
      <c r="U29" s="596"/>
      <c r="V29" s="596"/>
      <c r="W29" s="596"/>
      <c r="X29" s="596"/>
      <c r="Y29" s="597"/>
      <c r="Z29" s="598"/>
      <c r="AA29" s="599"/>
      <c r="AB29" s="598"/>
      <c r="AC29" s="600"/>
      <c r="AD29" s="601"/>
      <c r="AE29" s="602"/>
      <c r="AF29" s="603"/>
      <c r="AG29" s="589"/>
      <c r="AH29" s="638"/>
      <c r="AI29" s="647"/>
      <c r="AJ29" s="604"/>
      <c r="AK29" s="628"/>
      <c r="AL29" s="589"/>
      <c r="AM29" s="657"/>
      <c r="AN29" s="605"/>
      <c r="AO29" s="858"/>
      <c r="AP29" s="606"/>
      <c r="AQ29" s="606"/>
      <c r="AR29" s="606"/>
      <c r="AS29" s="595"/>
      <c r="AT29" s="606"/>
      <c r="AU29" s="607"/>
      <c r="AV29" s="607"/>
      <c r="AW29" s="607"/>
      <c r="AX29" s="597"/>
    </row>
    <row r="30" spans="1:50" x14ac:dyDescent="0.2">
      <c r="A30" s="393" t="s">
        <v>292</v>
      </c>
      <c r="B30" s="394"/>
      <c r="C30" s="395"/>
      <c r="D30" s="396"/>
      <c r="E30" s="397"/>
      <c r="F30" s="397"/>
      <c r="G30" s="398"/>
      <c r="H30" s="398"/>
      <c r="I30" s="399"/>
      <c r="J30" s="398"/>
      <c r="K30" s="399"/>
      <c r="L30" s="398"/>
      <c r="M30" s="400"/>
      <c r="N30" s="398"/>
      <c r="O30" s="401"/>
      <c r="P30" s="402"/>
      <c r="Q30" s="403"/>
      <c r="R30" s="404"/>
      <c r="S30" s="404"/>
      <c r="T30" s="404"/>
      <c r="U30" s="405"/>
      <c r="V30" s="405"/>
      <c r="W30" s="405"/>
      <c r="X30" s="405"/>
      <c r="Y30" s="406"/>
      <c r="Z30" s="407"/>
      <c r="AA30" s="408"/>
      <c r="AB30" s="407"/>
      <c r="AC30" s="409"/>
      <c r="AD30" s="410"/>
      <c r="AE30" s="411"/>
      <c r="AF30" s="412"/>
      <c r="AG30" s="398"/>
      <c r="AH30" s="639"/>
      <c r="AI30" s="648"/>
      <c r="AJ30" s="413"/>
      <c r="AK30" s="629"/>
      <c r="AL30" s="398"/>
      <c r="AM30" s="658"/>
      <c r="AN30" s="332"/>
      <c r="AO30" s="859"/>
      <c r="AP30" s="333"/>
      <c r="AQ30" s="333"/>
      <c r="AR30" s="333"/>
      <c r="AS30" s="327"/>
      <c r="AT30" s="330"/>
      <c r="AU30" s="331"/>
      <c r="AV30" s="331"/>
      <c r="AW30" s="331"/>
      <c r="AX30" s="328"/>
    </row>
    <row r="31" spans="1:50" x14ac:dyDescent="0.2">
      <c r="A31" s="295"/>
      <c r="B31" s="339">
        <f t="shared" ref="B31" ca="1" si="46">IF(AND(SUM(D31:K31,L31:M31)=COUNT(D31:K31,L31:M31),COUNT(D31:K31,L31:M31)&gt;0),ROW(B31),0)</f>
        <v>0</v>
      </c>
      <c r="C31" s="249">
        <f t="shared" ref="C31" ca="1" si="47">IF(AND(SUM(D31:K31,N31:O31)=COUNT(D31:K31,N31:O31),COUNT(D31:K31,N31:O31)&gt;0),ROW(B31),0)</f>
        <v>0</v>
      </c>
      <c r="D31" s="246">
        <f t="shared" ref="D31" ca="1" si="48">IF(AND(OR($Z31="",INGVAN="",$Z31&lt;=INGVAN),OR($Z31="",INGTOT="",$Z31&lt;=INGTOT),OR($AA31="",INGVAN="",$AA31&gt;=INGVAN),OR($AA31="",INGTOT="",$AA31&gt;=INGTOT)),1,0)</f>
        <v>1</v>
      </c>
      <c r="E31" s="247">
        <f t="shared" ref="E31" ca="1" si="49">IF(AND(OR($AB31="",Tdatum&gt;=$AB31,AND(AB31&lt;&gt;"",ISNUMBER(FIND("j",LOWER(AD31))))),OR($AC31="",Tdatum&lt;=$AC31)),1,0)</f>
        <v>1</v>
      </c>
      <c r="F31" s="247">
        <f t="shared" ref="F31" ca="1" si="50">IF(AND(OR($S31="",MW&gt;=$S31),OR($T31="",$T31&gt;MW)),1,0)</f>
        <v>1</v>
      </c>
      <c r="G31" s="147"/>
      <c r="H31" s="147"/>
      <c r="I31" s="148"/>
      <c r="J31" s="147"/>
      <c r="K31" s="148"/>
      <c r="L31" s="147"/>
      <c r="M31" s="248">
        <f ca="1">IF(AND(ParBAL1&lt;&gt;"",ParBAL1=P31,ParBAL2="4.4"),1,0)</f>
        <v>0</v>
      </c>
      <c r="N31" s="147"/>
      <c r="O31" s="249">
        <f ca="1">IF(AND(ParBAL2&lt;&gt;"",ParBAL2=P31,ParBAL1="4.4"),1,0)</f>
        <v>0</v>
      </c>
      <c r="P31" s="279" t="s">
        <v>105</v>
      </c>
      <c r="Q31" s="149" t="s">
        <v>464</v>
      </c>
      <c r="R31" s="149"/>
      <c r="S31" s="149"/>
      <c r="T31" s="149"/>
      <c r="U31" s="150"/>
      <c r="V31" s="150"/>
      <c r="W31" s="150"/>
      <c r="X31" s="150"/>
      <c r="Y31" s="151"/>
      <c r="Z31" s="143"/>
      <c r="AA31" s="144"/>
      <c r="AB31" s="143"/>
      <c r="AC31" s="145"/>
      <c r="AD31" s="146"/>
      <c r="AE31" s="276" t="s">
        <v>462</v>
      </c>
      <c r="AF31" s="152" t="s">
        <v>366</v>
      </c>
      <c r="AG31" s="147"/>
      <c r="AH31" s="636"/>
      <c r="AI31" s="645"/>
      <c r="AJ31" s="269"/>
      <c r="AK31" s="626"/>
      <c r="AL31" s="147"/>
      <c r="AM31" s="655"/>
      <c r="AN31" s="347"/>
      <c r="AO31" s="860"/>
      <c r="AP31" s="325"/>
      <c r="AQ31" s="325"/>
      <c r="AR31" s="325"/>
      <c r="AS31" s="348"/>
      <c r="AT31" s="149"/>
      <c r="AU31" s="150"/>
      <c r="AV31" s="150"/>
      <c r="AW31" s="150"/>
      <c r="AX31" s="151"/>
    </row>
    <row r="32" spans="1:50" x14ac:dyDescent="0.2">
      <c r="A32" s="295"/>
      <c r="B32" s="340"/>
      <c r="C32" s="341"/>
      <c r="D32" s="326"/>
      <c r="E32" s="46"/>
      <c r="F32" s="46"/>
      <c r="G32" s="147"/>
      <c r="H32" s="147"/>
      <c r="I32" s="148"/>
      <c r="J32" s="147"/>
      <c r="K32" s="148"/>
      <c r="L32" s="147"/>
      <c r="M32" s="56"/>
      <c r="N32" s="147"/>
      <c r="O32" s="59"/>
      <c r="P32" s="279"/>
      <c r="Q32" s="160"/>
      <c r="R32" s="149"/>
      <c r="S32" s="149"/>
      <c r="T32" s="149"/>
      <c r="U32" s="150"/>
      <c r="V32" s="150"/>
      <c r="W32" s="150"/>
      <c r="X32" s="150"/>
      <c r="Y32" s="151"/>
      <c r="Z32" s="143"/>
      <c r="AA32" s="144"/>
      <c r="AB32" s="143"/>
      <c r="AC32" s="145"/>
      <c r="AD32" s="146"/>
      <c r="AE32" s="276"/>
      <c r="AF32" s="152"/>
      <c r="AG32" s="147"/>
      <c r="AH32" s="636"/>
      <c r="AI32" s="645"/>
      <c r="AJ32" s="269"/>
      <c r="AK32" s="626"/>
      <c r="AL32" s="147"/>
      <c r="AM32" s="655"/>
      <c r="AN32" s="154"/>
      <c r="AO32" s="156"/>
      <c r="AP32" s="155"/>
      <c r="AQ32" s="155"/>
      <c r="AR32" s="155"/>
      <c r="AS32" s="149"/>
      <c r="AT32" s="155"/>
      <c r="AU32" s="157"/>
      <c r="AV32" s="157"/>
      <c r="AW32" s="157"/>
      <c r="AX32" s="151"/>
    </row>
    <row r="33" spans="1:50" x14ac:dyDescent="0.2">
      <c r="A33" s="363" t="s">
        <v>340</v>
      </c>
      <c r="B33" s="364"/>
      <c r="C33" s="365"/>
      <c r="D33" s="366"/>
      <c r="E33" s="367"/>
      <c r="F33" s="367"/>
      <c r="G33" s="368"/>
      <c r="H33" s="368"/>
      <c r="I33" s="369"/>
      <c r="J33" s="368"/>
      <c r="K33" s="369"/>
      <c r="L33" s="368"/>
      <c r="M33" s="370"/>
      <c r="N33" s="368"/>
      <c r="O33" s="371"/>
      <c r="P33" s="372"/>
      <c r="Q33" s="373"/>
      <c r="R33" s="374"/>
      <c r="S33" s="374"/>
      <c r="T33" s="374"/>
      <c r="U33" s="375"/>
      <c r="V33" s="375"/>
      <c r="W33" s="375"/>
      <c r="X33" s="375"/>
      <c r="Y33" s="376"/>
      <c r="Z33" s="377"/>
      <c r="AA33" s="378"/>
      <c r="AB33" s="377"/>
      <c r="AC33" s="379"/>
      <c r="AD33" s="380"/>
      <c r="AE33" s="381"/>
      <c r="AF33" s="382"/>
      <c r="AG33" s="368"/>
      <c r="AH33" s="637"/>
      <c r="AI33" s="646"/>
      <c r="AJ33" s="383"/>
      <c r="AK33" s="627"/>
      <c r="AL33" s="368"/>
      <c r="AM33" s="656"/>
      <c r="AN33" s="345"/>
      <c r="AO33" s="686"/>
      <c r="AP33" s="346"/>
      <c r="AQ33" s="346"/>
      <c r="AR33" s="346"/>
      <c r="AS33" s="346"/>
      <c r="AT33" s="336"/>
      <c r="AU33" s="337"/>
      <c r="AV33" s="337"/>
      <c r="AW33" s="337"/>
      <c r="AX33" s="335"/>
    </row>
    <row r="34" spans="1:50" x14ac:dyDescent="0.2">
      <c r="A34" s="584"/>
      <c r="B34" s="585"/>
      <c r="C34" s="586"/>
      <c r="D34" s="587"/>
      <c r="E34" s="588"/>
      <c r="F34" s="588"/>
      <c r="G34" s="589"/>
      <c r="H34" s="589"/>
      <c r="I34" s="590"/>
      <c r="J34" s="589"/>
      <c r="K34" s="590"/>
      <c r="L34" s="589"/>
      <c r="M34" s="591"/>
      <c r="N34" s="589"/>
      <c r="O34" s="592"/>
      <c r="P34" s="593"/>
      <c r="Q34" s="594"/>
      <c r="R34" s="595"/>
      <c r="S34" s="595"/>
      <c r="T34" s="595"/>
      <c r="U34" s="596"/>
      <c r="V34" s="596"/>
      <c r="W34" s="596"/>
      <c r="X34" s="596"/>
      <c r="Y34" s="597"/>
      <c r="Z34" s="598"/>
      <c r="AA34" s="599"/>
      <c r="AB34" s="598"/>
      <c r="AC34" s="600"/>
      <c r="AD34" s="601"/>
      <c r="AE34" s="602"/>
      <c r="AF34" s="603"/>
      <c r="AG34" s="589"/>
      <c r="AH34" s="638"/>
      <c r="AI34" s="647"/>
      <c r="AJ34" s="604"/>
      <c r="AK34" s="628"/>
      <c r="AL34" s="589"/>
      <c r="AM34" s="657"/>
      <c r="AN34" s="605"/>
      <c r="AO34" s="858"/>
      <c r="AP34" s="606"/>
      <c r="AQ34" s="606"/>
      <c r="AR34" s="606"/>
      <c r="AS34" s="595"/>
      <c r="AT34" s="606"/>
      <c r="AU34" s="607"/>
      <c r="AV34" s="607"/>
      <c r="AW34" s="607"/>
      <c r="AX34" s="597"/>
    </row>
    <row r="35" spans="1:50" x14ac:dyDescent="0.2">
      <c r="A35" s="393" t="s">
        <v>291</v>
      </c>
      <c r="B35" s="394"/>
      <c r="C35" s="395"/>
      <c r="D35" s="396"/>
      <c r="E35" s="397"/>
      <c r="F35" s="397"/>
      <c r="G35" s="398"/>
      <c r="H35" s="398"/>
      <c r="I35" s="399"/>
      <c r="J35" s="398"/>
      <c r="K35" s="399"/>
      <c r="L35" s="398"/>
      <c r="M35" s="400"/>
      <c r="N35" s="398"/>
      <c r="O35" s="401"/>
      <c r="P35" s="402"/>
      <c r="Q35" s="403"/>
      <c r="R35" s="404"/>
      <c r="S35" s="404"/>
      <c r="T35" s="404"/>
      <c r="U35" s="405"/>
      <c r="V35" s="405"/>
      <c r="W35" s="405"/>
      <c r="X35" s="405"/>
      <c r="Y35" s="406"/>
      <c r="Z35" s="407"/>
      <c r="AA35" s="408"/>
      <c r="AB35" s="407"/>
      <c r="AC35" s="409"/>
      <c r="AD35" s="410"/>
      <c r="AE35" s="411"/>
      <c r="AF35" s="412"/>
      <c r="AG35" s="398"/>
      <c r="AH35" s="639"/>
      <c r="AI35" s="648"/>
      <c r="AJ35" s="413"/>
      <c r="AK35" s="629"/>
      <c r="AL35" s="398"/>
      <c r="AM35" s="658"/>
      <c r="AN35" s="332"/>
      <c r="AO35" s="859"/>
      <c r="AP35" s="333"/>
      <c r="AQ35" s="333"/>
      <c r="AR35" s="333"/>
      <c r="AS35" s="327"/>
      <c r="AT35" s="330"/>
      <c r="AU35" s="331"/>
      <c r="AV35" s="331"/>
      <c r="AW35" s="331"/>
      <c r="AX35" s="328"/>
    </row>
    <row r="36" spans="1:50" x14ac:dyDescent="0.2">
      <c r="A36" s="295"/>
      <c r="B36" s="340"/>
      <c r="C36" s="341"/>
      <c r="D36" s="326"/>
      <c r="E36" s="46"/>
      <c r="F36" s="46"/>
      <c r="G36" s="147"/>
      <c r="H36" s="147"/>
      <c r="I36" s="148"/>
      <c r="J36" s="147"/>
      <c r="K36" s="148"/>
      <c r="L36" s="147"/>
      <c r="M36" s="56"/>
      <c r="N36" s="147"/>
      <c r="O36" s="59"/>
      <c r="P36" s="279"/>
      <c r="Q36" s="160"/>
      <c r="R36" s="149"/>
      <c r="S36" s="149"/>
      <c r="T36" s="149"/>
      <c r="U36" s="150"/>
      <c r="V36" s="150"/>
      <c r="W36" s="150"/>
      <c r="X36" s="150"/>
      <c r="Y36" s="151"/>
      <c r="Z36" s="143"/>
      <c r="AA36" s="144"/>
      <c r="AB36" s="143"/>
      <c r="AC36" s="145"/>
      <c r="AD36" s="146"/>
      <c r="AE36" s="276"/>
      <c r="AF36" s="152"/>
      <c r="AG36" s="147"/>
      <c r="AH36" s="636"/>
      <c r="AI36" s="645"/>
      <c r="AJ36" s="269"/>
      <c r="AK36" s="626"/>
      <c r="AL36" s="147"/>
      <c r="AM36" s="655"/>
      <c r="AN36" s="154"/>
      <c r="AO36" s="156"/>
      <c r="AP36" s="155"/>
      <c r="AQ36" s="155"/>
      <c r="AR36" s="155"/>
      <c r="AS36" s="149"/>
      <c r="AT36" s="155"/>
      <c r="AU36" s="157"/>
      <c r="AV36" s="157"/>
      <c r="AW36" s="157"/>
      <c r="AX36" s="151"/>
    </row>
    <row r="37" spans="1:50" x14ac:dyDescent="0.2">
      <c r="A37" s="363" t="s">
        <v>341</v>
      </c>
      <c r="B37" s="364"/>
      <c r="C37" s="365"/>
      <c r="D37" s="366"/>
      <c r="E37" s="367"/>
      <c r="F37" s="367"/>
      <c r="G37" s="368"/>
      <c r="H37" s="368"/>
      <c r="I37" s="369"/>
      <c r="J37" s="368"/>
      <c r="K37" s="369"/>
      <c r="L37" s="368"/>
      <c r="M37" s="370"/>
      <c r="N37" s="368"/>
      <c r="O37" s="371"/>
      <c r="P37" s="372"/>
      <c r="Q37" s="373"/>
      <c r="R37" s="374"/>
      <c r="S37" s="374"/>
      <c r="T37" s="374"/>
      <c r="U37" s="375"/>
      <c r="V37" s="375"/>
      <c r="W37" s="375"/>
      <c r="X37" s="375"/>
      <c r="Y37" s="376"/>
      <c r="Z37" s="377"/>
      <c r="AA37" s="378"/>
      <c r="AB37" s="377"/>
      <c r="AC37" s="379"/>
      <c r="AD37" s="380"/>
      <c r="AE37" s="381"/>
      <c r="AF37" s="382"/>
      <c r="AG37" s="368"/>
      <c r="AH37" s="637"/>
      <c r="AI37" s="646"/>
      <c r="AJ37" s="383"/>
      <c r="AK37" s="627"/>
      <c r="AL37" s="368"/>
      <c r="AM37" s="656"/>
      <c r="AN37" s="345"/>
      <c r="AO37" s="686"/>
      <c r="AP37" s="346"/>
      <c r="AQ37" s="346"/>
      <c r="AR37" s="346"/>
      <c r="AS37" s="346"/>
      <c r="AT37" s="336"/>
      <c r="AU37" s="337"/>
      <c r="AV37" s="337"/>
      <c r="AW37" s="337"/>
      <c r="AX37" s="335"/>
    </row>
    <row r="38" spans="1:50" x14ac:dyDescent="0.2">
      <c r="A38" s="584"/>
      <c r="B38" s="585"/>
      <c r="C38" s="586"/>
      <c r="D38" s="608"/>
      <c r="E38" s="589"/>
      <c r="F38" s="589"/>
      <c r="G38" s="589"/>
      <c r="H38" s="589"/>
      <c r="I38" s="590"/>
      <c r="J38" s="589"/>
      <c r="K38" s="590"/>
      <c r="L38" s="589"/>
      <c r="M38" s="590"/>
      <c r="N38" s="590"/>
      <c r="O38" s="590"/>
      <c r="P38" s="593"/>
      <c r="Q38" s="595"/>
      <c r="R38" s="595"/>
      <c r="S38" s="595"/>
      <c r="T38" s="595"/>
      <c r="U38" s="596"/>
      <c r="V38" s="596"/>
      <c r="W38" s="596"/>
      <c r="X38" s="596"/>
      <c r="Y38" s="597"/>
      <c r="Z38" s="598"/>
      <c r="AA38" s="599"/>
      <c r="AB38" s="598"/>
      <c r="AC38" s="600"/>
      <c r="AD38" s="601"/>
      <c r="AE38" s="602"/>
      <c r="AF38" s="603"/>
      <c r="AG38" s="589"/>
      <c r="AH38" s="638"/>
      <c r="AI38" s="647"/>
      <c r="AJ38" s="604"/>
      <c r="AK38" s="628"/>
      <c r="AL38" s="589"/>
      <c r="AM38" s="657"/>
      <c r="AN38" s="609"/>
      <c r="AO38" s="861"/>
      <c r="AP38" s="595"/>
      <c r="AQ38" s="595"/>
      <c r="AR38" s="595"/>
      <c r="AS38" s="595"/>
      <c r="AT38" s="595"/>
      <c r="AU38" s="596"/>
      <c r="AV38" s="596"/>
      <c r="AW38" s="596"/>
      <c r="AX38" s="597"/>
    </row>
    <row r="39" spans="1:50" x14ac:dyDescent="0.2">
      <c r="A39" s="393" t="s">
        <v>290</v>
      </c>
      <c r="B39" s="394"/>
      <c r="C39" s="395"/>
      <c r="D39" s="396"/>
      <c r="E39" s="397"/>
      <c r="F39" s="397"/>
      <c r="G39" s="398"/>
      <c r="H39" s="398"/>
      <c r="I39" s="399"/>
      <c r="J39" s="398"/>
      <c r="K39" s="399"/>
      <c r="L39" s="398"/>
      <c r="M39" s="400"/>
      <c r="N39" s="398"/>
      <c r="O39" s="401"/>
      <c r="P39" s="402"/>
      <c r="Q39" s="403"/>
      <c r="R39" s="404"/>
      <c r="S39" s="404"/>
      <c r="T39" s="404"/>
      <c r="U39" s="405"/>
      <c r="V39" s="405"/>
      <c r="W39" s="405"/>
      <c r="X39" s="405"/>
      <c r="Y39" s="406"/>
      <c r="Z39" s="407"/>
      <c r="AA39" s="408"/>
      <c r="AB39" s="407"/>
      <c r="AC39" s="409"/>
      <c r="AD39" s="410"/>
      <c r="AE39" s="411"/>
      <c r="AF39" s="412"/>
      <c r="AG39" s="398"/>
      <c r="AH39" s="639"/>
      <c r="AI39" s="648"/>
      <c r="AJ39" s="413"/>
      <c r="AK39" s="629"/>
      <c r="AL39" s="398"/>
      <c r="AM39" s="658"/>
      <c r="AN39" s="329"/>
      <c r="AO39" s="862"/>
      <c r="AP39" s="330"/>
      <c r="AQ39" s="330"/>
      <c r="AR39" s="330"/>
      <c r="AS39" s="327"/>
      <c r="AT39" s="330"/>
      <c r="AU39" s="331"/>
      <c r="AV39" s="331"/>
      <c r="AW39" s="331"/>
      <c r="AX39" s="328"/>
    </row>
    <row r="40" spans="1:50" x14ac:dyDescent="0.2">
      <c r="A40" s="334"/>
      <c r="B40" s="340"/>
      <c r="C40" s="341"/>
      <c r="D40" s="338"/>
      <c r="E40" s="46"/>
      <c r="F40" s="46"/>
      <c r="G40" s="147"/>
      <c r="H40" s="147"/>
      <c r="I40" s="148"/>
      <c r="J40" s="147"/>
      <c r="K40" s="148"/>
      <c r="L40" s="147"/>
      <c r="M40" s="56"/>
      <c r="N40" s="148"/>
      <c r="O40" s="56"/>
      <c r="P40" s="279"/>
      <c r="Q40" s="160"/>
      <c r="R40" s="149"/>
      <c r="S40" s="149"/>
      <c r="T40" s="149"/>
      <c r="U40" s="150"/>
      <c r="V40" s="150"/>
      <c r="W40" s="150"/>
      <c r="X40" s="150"/>
      <c r="Y40" s="151"/>
      <c r="Z40" s="143"/>
      <c r="AA40" s="144"/>
      <c r="AB40" s="143"/>
      <c r="AC40" s="145"/>
      <c r="AD40" s="146"/>
      <c r="AE40" s="276"/>
      <c r="AF40" s="152"/>
      <c r="AG40" s="147"/>
      <c r="AH40" s="636"/>
      <c r="AI40" s="645"/>
      <c r="AJ40" s="269"/>
      <c r="AK40" s="626"/>
      <c r="AL40" s="147"/>
      <c r="AM40" s="655"/>
      <c r="AN40" s="154"/>
      <c r="AO40" s="156"/>
      <c r="AP40" s="155"/>
      <c r="AQ40" s="155"/>
      <c r="AR40" s="155"/>
      <c r="AS40" s="149"/>
      <c r="AT40" s="155"/>
      <c r="AU40" s="157"/>
      <c r="AV40" s="157"/>
      <c r="AW40" s="157"/>
      <c r="AX40" s="151"/>
    </row>
    <row r="41" spans="1:50" ht="12" thickBot="1" x14ac:dyDescent="0.25">
      <c r="A41" s="297"/>
      <c r="B41" s="343"/>
      <c r="C41" s="344"/>
      <c r="D41" s="161"/>
      <c r="E41" s="161"/>
      <c r="F41" s="161"/>
      <c r="G41" s="161"/>
      <c r="H41" s="161"/>
      <c r="I41" s="162"/>
      <c r="J41" s="161"/>
      <c r="K41" s="162"/>
      <c r="L41" s="161"/>
      <c r="M41" s="162"/>
      <c r="N41" s="162"/>
      <c r="O41" s="162"/>
      <c r="P41" s="280"/>
      <c r="Q41" s="163"/>
      <c r="R41" s="163"/>
      <c r="S41" s="163"/>
      <c r="T41" s="163"/>
      <c r="U41" s="164"/>
      <c r="V41" s="164"/>
      <c r="W41" s="164"/>
      <c r="X41" s="164"/>
      <c r="Y41" s="165"/>
      <c r="Z41" s="166"/>
      <c r="AA41" s="167"/>
      <c r="AB41" s="166"/>
      <c r="AC41" s="168"/>
      <c r="AD41" s="169"/>
      <c r="AE41" s="278"/>
      <c r="AF41" s="171"/>
      <c r="AG41" s="161"/>
      <c r="AH41" s="640"/>
      <c r="AI41" s="649"/>
      <c r="AJ41" s="270"/>
      <c r="AK41" s="632"/>
      <c r="AL41" s="161"/>
      <c r="AM41" s="659"/>
      <c r="AN41" s="170"/>
      <c r="AO41" s="863"/>
      <c r="AP41" s="163"/>
      <c r="AQ41" s="163"/>
      <c r="AR41" s="163"/>
      <c r="AS41" s="163"/>
      <c r="AT41" s="163"/>
      <c r="AU41" s="164"/>
      <c r="AV41" s="164"/>
      <c r="AW41" s="164"/>
      <c r="AX41"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39"/>
  <sheetViews>
    <sheetView workbookViewId="0">
      <pane xSplit="20" ySplit="6" topLeftCell="AA7" activePane="bottomRight" state="frozen"/>
      <selection pane="topRight" activeCell="U1" sqref="U1"/>
      <selection pane="bottomLeft" activeCell="A7" sqref="A7"/>
      <selection pane="bottomRight" activeCell="AA3" sqref="AA3"/>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5" width="7.125" style="3" customWidth="1"/>
    <col min="36" max="36" width="7.7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HF</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IF($B$5=0,"",IF(INDEX(AK$1:AK$39,$B$5)="","",IF(AND(OR($AI5="",INGVAN="",$AI5&lt;=INGVAN),OR($AI5="",INGTOT="",$AI5&lt;=INGTOT)),1,0)))</f>
        <v/>
      </c>
      <c r="AL1" s="184" t="str">
        <f ca="1">IF($B$5=0,"",IF(INDEX(AK$1:AK$39,$B$5)="","",IF(AND(OR($AJ5="",INGVAN="",$AJ5&gt;=INGVAN),OR($AJ5="",INGTOT="",$AJ5&gt;=INGTOT)),1,0)))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126</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HF</v>
      </c>
      <c r="AG3" s="129" t="s">
        <v>165</v>
      </c>
      <c r="AH3" s="633" t="s">
        <v>356</v>
      </c>
      <c r="AI3" s="642" t="s">
        <v>358</v>
      </c>
      <c r="AJ3" s="282" t="s">
        <v>359</v>
      </c>
      <c r="AK3" s="624" t="s">
        <v>251</v>
      </c>
      <c r="AL3" s="130" t="s">
        <v>183</v>
      </c>
      <c r="AM3" s="652" t="s">
        <v>209</v>
      </c>
      <c r="AN3" s="530" t="s">
        <v>534</v>
      </c>
      <c r="AO3" s="853"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IF(AND(AF5="",AF6=""),"",CONCATENATE(ROUND((100-IF(AF6="",0,ABRAND2))/100*IF(AF5="",0,AF5*(21-AG4)/(21-AG5))+IF(AF5="",100,ABRAND2)/100*IF(AF6="",0,AF6*(21-AG4)/(21-AG6)),0)," ",IF(A2="","",A2)," bij ",AG4," vol% O₂"))</f>
        <v/>
      </c>
      <c r="AG4" s="208">
        <f ca="1">NOx!AG4</f>
        <v>3</v>
      </c>
      <c r="AH4" s="634" t="str">
        <f ca="1">IF($C$6=0,AH5,IF($B$5=0,AH6,IF($B$5&lt;$C$6,AH5,AH6)))</f>
        <v/>
      </c>
      <c r="AI4" s="643"/>
      <c r="AJ4" s="208"/>
      <c r="AK4" s="696"/>
      <c r="AL4" s="208"/>
      <c r="AM4" s="653" t="str">
        <f ca="1">IF($C$6=0,AM5,IF($B$5=0,AM6,IF($B$5&lt;$C$6,AM5,AM6)))</f>
        <v/>
      </c>
      <c r="AN4" s="209"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54" t="str">
        <f t="shared" ref="AO4:AS4" ca="1" si="7">IF($C$6=0,AO5,IF($B$5=0,AO6,IF($B$5&lt;$C$6,AO5,AO6)))</f>
        <v/>
      </c>
      <c r="AP4" s="210" t="str">
        <f t="shared" ca="1" si="7"/>
        <v/>
      </c>
      <c r="AQ4" s="210" t="str">
        <f t="shared" ca="1" si="7"/>
        <v/>
      </c>
      <c r="AR4" s="211" t="str">
        <f t="shared" ca="1" si="7"/>
        <v/>
      </c>
      <c r="AS4" s="210" t="str">
        <f t="shared" ca="1" si="7"/>
        <v/>
      </c>
      <c r="AT4" s="210" t="str">
        <f t="shared" ref="AT4" ca="1" si="8">IF($C$6=0,AT5,IF($B$5=0,AT6,IF($B$5&lt;$C$6,AT5,AT6)))</f>
        <v/>
      </c>
      <c r="AU4" s="212"/>
      <c r="AV4" s="212"/>
      <c r="AW4" s="212"/>
      <c r="AX4" s="213" t="str">
        <f ca="1">CONCATENATE(IF($AL$4="","",$AL$4),IF($AW$2="","",CONCATENATE(IF(AL4&lt;&gt;"",CHAR(10),""),"+ ",$AW$2)))</f>
        <v/>
      </c>
    </row>
    <row r="5" spans="1:50" x14ac:dyDescent="0.2">
      <c r="A5" s="181" t="s">
        <v>29</v>
      </c>
      <c r="B5" s="192">
        <f ca="1">IF(Geldig,MAX(B8:B39),0)</f>
        <v>0</v>
      </c>
      <c r="C5" s="195"/>
      <c r="D5" s="192" t="str">
        <f t="shared" ref="D5:AF5" ca="1" si="9">IF($B$5=0,"",IF(INDEX(D$1:D$39,$B$5)="","",INDEX(D$1:D$39,$B$5)))</f>
        <v/>
      </c>
      <c r="E5" s="193" t="str">
        <f t="shared" ca="1" si="9"/>
        <v/>
      </c>
      <c r="F5" s="193" t="str">
        <f t="shared" ca="1" si="9"/>
        <v/>
      </c>
      <c r="G5" s="193" t="str">
        <f t="shared" ca="1" si="9"/>
        <v/>
      </c>
      <c r="H5" s="193" t="str">
        <f t="shared" ca="1" si="9"/>
        <v/>
      </c>
      <c r="I5" s="194" t="str">
        <f t="shared" ca="1" si="9"/>
        <v/>
      </c>
      <c r="J5" s="193" t="str">
        <f t="shared" ca="1" si="9"/>
        <v/>
      </c>
      <c r="K5" s="194" t="str">
        <f t="shared" ca="1" si="9"/>
        <v/>
      </c>
      <c r="L5" s="193" t="str">
        <f t="shared" ca="1" si="9"/>
        <v/>
      </c>
      <c r="M5" s="194" t="str">
        <f t="shared" ca="1" si="9"/>
        <v/>
      </c>
      <c r="N5" s="194" t="str">
        <f t="shared" ca="1" si="9"/>
        <v/>
      </c>
      <c r="O5" s="195" t="str">
        <f t="shared" ca="1" si="9"/>
        <v/>
      </c>
      <c r="P5" s="187" t="str">
        <f t="shared" ca="1" si="9"/>
        <v/>
      </c>
      <c r="Q5" s="214" t="str">
        <f t="shared" ca="1" si="9"/>
        <v/>
      </c>
      <c r="R5" s="214" t="str">
        <f t="shared" ca="1" si="9"/>
        <v/>
      </c>
      <c r="S5" s="214" t="str">
        <f t="shared" ca="1" si="9"/>
        <v/>
      </c>
      <c r="T5" s="214" t="str">
        <f t="shared" ca="1" si="9"/>
        <v/>
      </c>
      <c r="U5" s="214" t="str">
        <f t="shared" ca="1" si="9"/>
        <v/>
      </c>
      <c r="V5" s="215" t="str">
        <f t="shared" ca="1" si="9"/>
        <v/>
      </c>
      <c r="W5" s="215" t="str">
        <f t="shared" ca="1" si="9"/>
        <v/>
      </c>
      <c r="X5" s="215" t="str">
        <f t="shared" ca="1" si="9"/>
        <v/>
      </c>
      <c r="Y5" s="216" t="str">
        <f t="shared" ca="1" si="9"/>
        <v/>
      </c>
      <c r="Z5" s="217" t="str">
        <f t="shared" ca="1" si="9"/>
        <v/>
      </c>
      <c r="AA5" s="218" t="str">
        <f t="shared" ca="1" si="9"/>
        <v/>
      </c>
      <c r="AB5" s="217" t="str">
        <f t="shared" ca="1" si="9"/>
        <v/>
      </c>
      <c r="AC5" s="219" t="str">
        <f t="shared" ca="1" si="9"/>
        <v/>
      </c>
      <c r="AD5" s="220" t="str">
        <f t="shared" ca="1" si="9"/>
        <v/>
      </c>
      <c r="AE5" s="221" t="str">
        <f t="shared" ca="1" si="9"/>
        <v/>
      </c>
      <c r="AF5" s="222" t="str">
        <f t="shared" ca="1" si="9"/>
        <v/>
      </c>
      <c r="AG5" s="223" t="str">
        <f ca="1">IF($B$5=0,"",IF(INDEX(AG$1:AG$39,$B$5)="",O2BRAND1,INDEX(AG$1:AG$39,$B$5)))</f>
        <v/>
      </c>
      <c r="AH5" s="225" t="str">
        <f ca="1">IF($B$5=0,"",IF(INDEX(AH$1:AH$39,$B$5)="","",INDEX(AH$1:AH$39,$B$5)))</f>
        <v/>
      </c>
      <c r="AI5" s="661" t="str">
        <f ca="1">IF($B$5=0,"",IF(INDEX(AI$1:AI$39,$B$5)="","",INDEX(AI$1:AI$39,$B$5)))</f>
        <v/>
      </c>
      <c r="AJ5" s="218" t="str">
        <f ca="1">IF($B$5=0,"",IF(INDEX(AJ$1:AJ$39,$B$5)="","",INDEX(AJ$1:AJ$39,$B$5)))</f>
        <v/>
      </c>
      <c r="AK5" s="651" t="str">
        <f ca="1">IF($B$5=0,"",IF(INDEX(AK$1:AK$39,$B$5)="","",IF(AND(OR($AI5="",INGVAN="",$AI5&lt;=INGVAN),OR($AI5="",INGTOT="",$AI5&lt;=INGTOT),OR($AJ5="",INGVAN="",$AJ5&gt;=INGVAN),OR($AJ5="",INGTOT="",$AJ5&gt;=INGTOT)),INDEX(AK$1:AK$39,$B$5),"")))</f>
        <v/>
      </c>
      <c r="AL5" s="223" t="str">
        <f ca="1">IF($B$5=0,"",IF(INDEX(AL$1:AL$39,$B$5)="","",IF(AND(OR($AI5="",INGVAN="",$AI5&lt;=INGVAN),OR($AI5="",INGTOT="",$AI5&lt;=INGTOT),OR($AJ5="",INGVAN="",$AJ5&gt;=INGVAN),OR($AJ5="",INGTOT="",$AJ5&gt;=INGTOT)),INDEX(AL$1:AL$39,$B$5),"")))</f>
        <v/>
      </c>
      <c r="AM5" s="224" t="str">
        <f ca="1">IF($B$5=0,"",IF(INDEX(AM$1:AM$39,$B$5)="","",IF(AND(OR($AI5="",INGVAN="",$AI5&lt;=INGVAN),OR($AI5="",INGTOT="",$AI5&lt;=INGTOT),OR($AJ5="",INGVAN="",$AJ5&gt;=INGVAN),OR($AJ5="",INGTOT="",$AJ5&gt;=INGTOT)),INDEX(AM$1:AM$39,$B$5),"")))</f>
        <v/>
      </c>
      <c r="AN5" s="226"/>
      <c r="AO5" s="855" t="str">
        <f t="shared" ref="AO5:AW5" ca="1" si="10">IF($B$5=0,"",IF(INDEX(AO$1:AO$39,$B$5)="","",INDEX(AO$1:AO$39,$B$5)))</f>
        <v/>
      </c>
      <c r="AP5" s="227" t="str">
        <f t="shared" ca="1" si="10"/>
        <v/>
      </c>
      <c r="AQ5" s="227" t="str">
        <f t="shared" ca="1" si="10"/>
        <v/>
      </c>
      <c r="AR5" s="227" t="str">
        <f t="shared" ca="1" si="10"/>
        <v/>
      </c>
      <c r="AS5" s="227" t="str">
        <f t="shared" ca="1" si="10"/>
        <v/>
      </c>
      <c r="AT5" s="227" t="str">
        <f t="shared" ca="1" si="10"/>
        <v/>
      </c>
      <c r="AU5" s="227" t="str">
        <f t="shared" ca="1" si="10"/>
        <v/>
      </c>
      <c r="AV5" s="227" t="str">
        <f t="shared" ca="1" si="10"/>
        <v/>
      </c>
      <c r="AW5" s="227" t="str">
        <f t="shared" ca="1" si="10"/>
        <v/>
      </c>
      <c r="AX5" s="228"/>
    </row>
    <row r="6" spans="1:50" ht="12" thickBot="1" x14ac:dyDescent="0.25">
      <c r="A6" s="182" t="s">
        <v>30</v>
      </c>
      <c r="B6" s="190"/>
      <c r="C6" s="191">
        <f ca="1">MAX(C8:C39)</f>
        <v>0</v>
      </c>
      <c r="D6" s="196" t="str">
        <f t="shared" ref="D6:AF6" ca="1" si="11">IF($C$6=0,"",IF(INDEX(D$1:D$39,$C$6)="","",INDEX(D$1:D$39,$C$6)))</f>
        <v/>
      </c>
      <c r="E6" s="196" t="str">
        <f t="shared" ca="1" si="11"/>
        <v/>
      </c>
      <c r="F6" s="196" t="str">
        <f t="shared" ca="1" si="11"/>
        <v/>
      </c>
      <c r="G6" s="196" t="str">
        <f t="shared" ca="1" si="11"/>
        <v/>
      </c>
      <c r="H6" s="196" t="str">
        <f t="shared" ca="1" si="11"/>
        <v/>
      </c>
      <c r="I6" s="197" t="str">
        <f t="shared" ca="1" si="11"/>
        <v/>
      </c>
      <c r="J6" s="196" t="str">
        <f t="shared" ca="1" si="11"/>
        <v/>
      </c>
      <c r="K6" s="197" t="str">
        <f t="shared" ca="1" si="11"/>
        <v/>
      </c>
      <c r="L6" s="196" t="str">
        <f t="shared" ca="1" si="11"/>
        <v/>
      </c>
      <c r="M6" s="197" t="str">
        <f t="shared" ca="1" si="11"/>
        <v/>
      </c>
      <c r="N6" s="197" t="str">
        <f t="shared" ca="1" si="11"/>
        <v/>
      </c>
      <c r="O6" s="197" t="str">
        <f t="shared" ca="1" si="11"/>
        <v/>
      </c>
      <c r="P6" s="229" t="str">
        <f t="shared" ca="1" si="11"/>
        <v/>
      </c>
      <c r="Q6" s="230" t="str">
        <f t="shared" ca="1" si="11"/>
        <v/>
      </c>
      <c r="R6" s="230" t="str">
        <f t="shared" ca="1" si="11"/>
        <v/>
      </c>
      <c r="S6" s="230" t="str">
        <f t="shared" ca="1" si="11"/>
        <v/>
      </c>
      <c r="T6" s="230" t="str">
        <f t="shared" ca="1" si="11"/>
        <v/>
      </c>
      <c r="U6" s="230" t="str">
        <f t="shared" ca="1" si="11"/>
        <v/>
      </c>
      <c r="V6" s="231" t="str">
        <f t="shared" ca="1" si="11"/>
        <v/>
      </c>
      <c r="W6" s="231" t="str">
        <f t="shared" ca="1" si="11"/>
        <v/>
      </c>
      <c r="X6" s="231" t="str">
        <f t="shared" ca="1" si="11"/>
        <v/>
      </c>
      <c r="Y6" s="232" t="str">
        <f t="shared" ca="1" si="11"/>
        <v/>
      </c>
      <c r="Z6" s="233" t="str">
        <f t="shared" ca="1" si="11"/>
        <v/>
      </c>
      <c r="AA6" s="234" t="str">
        <f t="shared" ca="1" si="11"/>
        <v/>
      </c>
      <c r="AB6" s="233" t="str">
        <f t="shared" ca="1" si="11"/>
        <v/>
      </c>
      <c r="AC6" s="235" t="str">
        <f t="shared" ca="1" si="11"/>
        <v/>
      </c>
      <c r="AD6" s="236" t="str">
        <f t="shared" ca="1" si="11"/>
        <v/>
      </c>
      <c r="AE6" s="237" t="str">
        <f t="shared" ca="1" si="11"/>
        <v/>
      </c>
      <c r="AF6" s="196" t="str">
        <f t="shared" ca="1" si="11"/>
        <v/>
      </c>
      <c r="AG6" s="238" t="str">
        <f ca="1">IF($C$6=0,"",IF(INDEX(AG$1:AG$39,$C$6)="",O2BRAND2,INDEX(AG$1:AG$39,$C$6)))</f>
        <v/>
      </c>
      <c r="AH6" s="239" t="str">
        <f ca="1">IF($C$6=0,"",IF(INDEX(AH$1:AH$39,$C$6)="","",INDEX(AH$1:AH$39,$C$6)))</f>
        <v/>
      </c>
      <c r="AI6" s="662" t="str">
        <f ca="1">IF($C$6=0,"",IF(INDEX(AI$1:AI$39,$C$6)="","",INDEX(AI$1:AI$39,$C$6)))</f>
        <v/>
      </c>
      <c r="AJ6" s="234" t="str">
        <f ca="1">IF($C$6=0,"",IF(INDEX(AJ$1:AJ$39,$C$6)="","",INDEX(AJ$1:AJ$39,$C$6)))</f>
        <v/>
      </c>
      <c r="AK6" s="672" t="str">
        <f ca="1">IF($C$6=0,"",IF(INDEX(AK$1:AK$39,$C$6)="","",IF(AND(OR($AI6="",INGVAN="",$AI6&lt;=INGVAN),OR($AI6="",INGTOT="",$AI6&lt;=INGTOT),OR($AJ6="",INGVAN="",$AJ6&gt;=INGVAN),OR($AJ6="",INGTOT="",$AJ6&gt;=INGTOT)),INDEX(AK$1:AK$39,$C$6),"")))</f>
        <v/>
      </c>
      <c r="AL6" s="238" t="str">
        <f ca="1">IF($C$6=0,"",IF(INDEX(AL$1:AL$39,$C$6)="","",IF(AND(OR($AI6="",INGVAN="",$AI6&lt;=INGVAN),OR($AI6="",INGTOT="",$AI6&lt;=INGTOT),OR($AJ6="",INGVAN="",$AJ6&gt;=INGVAN),OR($AJ6="",INGTOT="",$AJ6&gt;=INGTOT)),INDEX(AL$1:AL$39,$C$6),"")))</f>
        <v/>
      </c>
      <c r="AM6" s="673" t="str">
        <f ca="1">IF($C$6=0,"",IF(INDEX(AM$1:AM$39,$C$6)="","",IF(AND(OR($AI6="",INGVAN="",$AI6&lt;=INGVAN),OR($AI6="",INGTOT="",$AI6&lt;=INGTOT),OR($AJ6="",INGVAN="",$AJ6&gt;=INGVAN),OR($AJ6="",INGTOT="",$AJ6&gt;=INGTOT)),INDEX(AM$1:AM$39,$C$6),"")))</f>
        <v/>
      </c>
      <c r="AN6" s="240"/>
      <c r="AO6" s="856" t="str">
        <f t="shared" ref="AO6:AW6" ca="1" si="12">IF($C$6=0,"",IF(INDEX(AO$1:AO$39,$C$6)="","",INDEX(AO$1:AO$39,$C$6)))</f>
        <v/>
      </c>
      <c r="AP6" s="241" t="str">
        <f t="shared" ca="1" si="12"/>
        <v/>
      </c>
      <c r="AQ6" s="241" t="str">
        <f t="shared" ca="1" si="12"/>
        <v/>
      </c>
      <c r="AR6" s="241" t="str">
        <f t="shared" ca="1" si="12"/>
        <v/>
      </c>
      <c r="AS6" s="241" t="str">
        <f t="shared" ca="1" si="12"/>
        <v/>
      </c>
      <c r="AT6" s="241" t="str">
        <f t="shared" ca="1" si="12"/>
        <v/>
      </c>
      <c r="AU6" s="241" t="str">
        <f t="shared" ca="1" si="12"/>
        <v/>
      </c>
      <c r="AV6" s="241" t="str">
        <f t="shared" ca="1" si="12"/>
        <v/>
      </c>
      <c r="AW6" s="241" t="str">
        <f t="shared" ca="1" si="12"/>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322"/>
      <c r="AO7" s="857" t="s">
        <v>243</v>
      </c>
      <c r="AP7" s="323" t="s">
        <v>471</v>
      </c>
      <c r="AQ7" s="323" t="s">
        <v>473</v>
      </c>
      <c r="AR7" s="323" t="s">
        <v>192</v>
      </c>
      <c r="AS7" s="323"/>
      <c r="AT7" s="320"/>
      <c r="AU7" s="321"/>
      <c r="AV7" s="321"/>
      <c r="AW7" s="321"/>
      <c r="AX7" s="319"/>
    </row>
    <row r="8" spans="1:50" x14ac:dyDescent="0.2">
      <c r="A8" s="295"/>
      <c r="B8" s="339">
        <f t="shared" ref="B8:B13" ca="1" si="13">IF(AND(SUM(D8:K8,L8:M8)=COUNT(D8:K8,L8:M8),COUNT(D8:K8,L8:M8)&gt;0),ROW(B8),0)</f>
        <v>0</v>
      </c>
      <c r="C8" s="249">
        <f t="shared" ref="C8:C13" ca="1" si="14">IF(AND(SUM(D8:K8,N8:O8)=COUNT(D8:K8,N8:O8),COUNT(D8:K8,N8:O8)&gt;0),ROW(B8),0)</f>
        <v>0</v>
      </c>
      <c r="D8" s="246">
        <f ca="1">IF(AND(OR($Z8="",INGVAN="",$Z8&lt;=INGVAN),OR($Z8="",INGTOT="",$Z8&lt;=INGTOT),OR($AA8="",INGVAN="",$AA8&gt;=INGVAN),OR($AA8="",INGTOT="",$AA8&gt;=INGTOT)),1,0)</f>
        <v>1</v>
      </c>
      <c r="E8" s="247">
        <f t="shared" ref="E8:E18" ca="1" si="15">IF(AND(OR($AB8="",Tdatum&gt;=$AB8,AND(AB8&lt;&gt;"",ISNUMBER(FIND("j",LOWER(AD8))))),OR($AC8="",Tdatum&lt;=$AC8)),1,0)</f>
        <v>1</v>
      </c>
      <c r="F8" s="247">
        <f t="shared" ref="F8:F24" ca="1" si="16">IF(AND(OR($S8="",MW&gt;=$S8),OR($T8="",$T8&gt;MW)),1,0)</f>
        <v>1</v>
      </c>
      <c r="G8" s="147">
        <f ca="1">IF(Afvalvernietiging,1,0)</f>
        <v>0</v>
      </c>
      <c r="H8" s="147"/>
      <c r="I8" s="147"/>
      <c r="J8" s="147"/>
      <c r="K8" s="148"/>
      <c r="L8" s="147">
        <f ca="1">IF(OR(TBRAND1=3,AND(G8=1,N8=0)),1,0)</f>
        <v>0</v>
      </c>
      <c r="M8" s="248">
        <f t="shared" ref="M8" ca="1" si="17">IF(AND(ParBAL1&lt;&gt;"",ParBAL1=P8),1,0)</f>
        <v>0</v>
      </c>
      <c r="N8" s="147">
        <f ca="1">IF(TBRAND2=3,1,0)</f>
        <v>0</v>
      </c>
      <c r="O8" s="249">
        <f t="shared" ref="O8" ca="1" si="18">IF(AND(ParBAL2&lt;&gt;"",ParBAL2=P8),1,0)</f>
        <v>0</v>
      </c>
      <c r="P8" s="279" t="s">
        <v>39</v>
      </c>
      <c r="Q8" s="149" t="s">
        <v>48</v>
      </c>
      <c r="R8" s="149" t="s">
        <v>265</v>
      </c>
      <c r="S8" s="149"/>
      <c r="T8" s="149"/>
      <c r="U8" s="150"/>
      <c r="V8" s="150"/>
      <c r="W8" s="150"/>
      <c r="X8" s="150"/>
      <c r="Y8" s="151"/>
      <c r="Z8" s="143"/>
      <c r="AA8" s="144"/>
      <c r="AB8" s="143"/>
      <c r="AC8" s="145"/>
      <c r="AD8" s="146"/>
      <c r="AE8" s="276" t="s">
        <v>121</v>
      </c>
      <c r="AF8" s="152" t="s">
        <v>434</v>
      </c>
      <c r="AG8" s="147"/>
      <c r="AH8" s="636"/>
      <c r="AI8" s="645"/>
      <c r="AJ8" s="663">
        <v>43781</v>
      </c>
      <c r="AK8" s="626" t="s">
        <v>123</v>
      </c>
      <c r="AL8" s="147">
        <v>1</v>
      </c>
      <c r="AM8" s="655"/>
      <c r="AN8" s="324"/>
      <c r="AO8" s="349" t="str">
        <f>AO$7</f>
        <v xml:space="preserve">Er geldt een continue meetverplichting (art 4.79). </v>
      </c>
      <c r="AP8" s="325" t="str">
        <f t="shared" ref="AP8:AR13" si="19">AP$7</f>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8" s="325" t="str">
        <f t="shared" si="19"/>
        <v>De aangetoonde meetonzekerheid mag niet groter zijn dan 40% van de emissie-eis of 0,4 mg/Nm3 (art. 4.88).</v>
      </c>
      <c r="AR8"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25"/>
      <c r="AT8" s="149"/>
      <c r="AU8" s="150"/>
      <c r="AV8" s="150"/>
      <c r="AW8" s="150"/>
      <c r="AX8" s="151"/>
    </row>
    <row r="9" spans="1:50" x14ac:dyDescent="0.2">
      <c r="A9" s="295"/>
      <c r="B9" s="339">
        <f t="shared" ca="1" si="13"/>
        <v>0</v>
      </c>
      <c r="C9" s="249">
        <f t="shared" ca="1" si="14"/>
        <v>0</v>
      </c>
      <c r="D9" s="246">
        <f ca="1">IF(AND(OR($Z9="",INGVAN="",$Z9&lt;=INGVAN),OR($Z9="",INGTOT="",$Z9&lt;=INGTOT),OR($AA9="",INGVAN="",$AA9&gt;=INGVAN),OR($AA9="",INGTOT="",$AA9&gt;=INGTOT)),1,0)</f>
        <v>1</v>
      </c>
      <c r="E9" s="247">
        <f t="shared" ca="1" si="15"/>
        <v>1</v>
      </c>
      <c r="F9" s="247">
        <f t="shared" ca="1" si="16"/>
        <v>1</v>
      </c>
      <c r="G9" s="147">
        <f ca="1">IF(EnergieUitAfval,1,0)</f>
        <v>0</v>
      </c>
      <c r="H9" s="147"/>
      <c r="I9" s="147"/>
      <c r="J9" s="147"/>
      <c r="K9" s="148"/>
      <c r="L9" s="147">
        <f ca="1">IF(TBRAND1=3,1,0)</f>
        <v>0</v>
      </c>
      <c r="M9" s="248">
        <f t="shared" ref="M9:M18" ca="1" si="20">IF(AND(ParBAL1&lt;&gt;"",ParBAL1=P9),1,0)</f>
        <v>0</v>
      </c>
      <c r="N9" s="147">
        <f ca="1">IF(TBRAND2=3,1,0)</f>
        <v>0</v>
      </c>
      <c r="O9" s="249">
        <f t="shared" ref="O9:O18" ca="1" si="21">IF(AND(ParBAL2&lt;&gt;"",ParBAL2=P9),1,0)</f>
        <v>0</v>
      </c>
      <c r="P9" s="279" t="s">
        <v>39</v>
      </c>
      <c r="Q9" s="149" t="s">
        <v>266</v>
      </c>
      <c r="R9" s="149" t="s">
        <v>46</v>
      </c>
      <c r="S9" s="149"/>
      <c r="T9" s="149"/>
      <c r="U9" s="150"/>
      <c r="V9" s="150"/>
      <c r="W9" s="150"/>
      <c r="X9" s="150"/>
      <c r="Y9" s="151"/>
      <c r="Z9" s="143"/>
      <c r="AA9" s="144"/>
      <c r="AB9" s="143"/>
      <c r="AC9" s="145"/>
      <c r="AD9" s="146"/>
      <c r="AE9" s="276" t="s">
        <v>121</v>
      </c>
      <c r="AF9" s="152" t="s">
        <v>434</v>
      </c>
      <c r="AG9" s="147"/>
      <c r="AH9" s="636"/>
      <c r="AI9" s="645"/>
      <c r="AJ9" s="663">
        <v>43781</v>
      </c>
      <c r="AK9" s="626" t="s">
        <v>123</v>
      </c>
      <c r="AL9" s="147">
        <v>1</v>
      </c>
      <c r="AM9" s="655"/>
      <c r="AN9" s="324"/>
      <c r="AO9" s="349" t="str">
        <f t="shared" ref="AO9:AO13" si="22">AO$7</f>
        <v xml:space="preserve">Er geldt een continue meetverplichting (art 4.79). </v>
      </c>
      <c r="AP9" s="325" t="str">
        <f t="shared" si="19"/>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9" s="325" t="str">
        <f t="shared" si="19"/>
        <v>De aangetoonde meetonzekerheid mag niet groter zijn dan 40% van de emissie-eis of 0,4 mg/Nm3 (art. 4.88).</v>
      </c>
      <c r="AR9" s="325" t="s">
        <v>451</v>
      </c>
      <c r="AS9" s="325"/>
      <c r="AT9" s="155"/>
      <c r="AU9" s="157"/>
      <c r="AV9" s="157"/>
      <c r="AW9" s="157"/>
      <c r="AX9" s="158"/>
    </row>
    <row r="10" spans="1:50" x14ac:dyDescent="0.2">
      <c r="A10" s="295"/>
      <c r="B10" s="339">
        <f t="shared" ca="1" si="13"/>
        <v>0</v>
      </c>
      <c r="C10" s="249">
        <f t="shared" ca="1" si="14"/>
        <v>0</v>
      </c>
      <c r="D10" s="246">
        <f ca="1">IF(AND(OR($Z10="",INGVAN="",$Z10&lt;=INGVAN),OR($Z10="",INGTOT="",$Z10&lt;=INGTOT),OR($AA10="",INGVAN="",$AA10&gt;=INGVAN),OR($AA10="",INGTOT="",$AA10&gt;=INGTOT)),1,0)</f>
        <v>1</v>
      </c>
      <c r="E10" s="247">
        <f t="shared" ca="1" si="15"/>
        <v>1</v>
      </c>
      <c r="F10" s="247">
        <f t="shared" ca="1" si="16"/>
        <v>1</v>
      </c>
      <c r="G10" s="147">
        <f ca="1">IF(SI=17,1,0)</f>
        <v>0</v>
      </c>
      <c r="H10" s="148"/>
      <c r="I10" s="147"/>
      <c r="J10" s="159"/>
      <c r="K10" s="148"/>
      <c r="L10" s="147">
        <f ca="1">IF(TBRAND1=3,1,0)</f>
        <v>0</v>
      </c>
      <c r="M10" s="248">
        <f t="shared" ca="1" si="20"/>
        <v>0</v>
      </c>
      <c r="N10" s="147">
        <f ca="1">IF(TBRAND2=3,1,0)</f>
        <v>0</v>
      </c>
      <c r="O10" s="249">
        <f t="shared" ca="1" si="21"/>
        <v>0</v>
      </c>
      <c r="P10" s="279" t="s">
        <v>39</v>
      </c>
      <c r="Q10" s="160" t="s">
        <v>128</v>
      </c>
      <c r="R10" s="149"/>
      <c r="S10" s="149"/>
      <c r="T10" s="149"/>
      <c r="U10" s="150"/>
      <c r="V10" s="150"/>
      <c r="W10" s="150"/>
      <c r="X10" s="150"/>
      <c r="Y10" s="151"/>
      <c r="Z10" s="143"/>
      <c r="AA10" s="144"/>
      <c r="AB10" s="143"/>
      <c r="AC10" s="145"/>
      <c r="AD10" s="146"/>
      <c r="AE10" s="276" t="s">
        <v>130</v>
      </c>
      <c r="AF10" s="152" t="s">
        <v>468</v>
      </c>
      <c r="AG10" s="147"/>
      <c r="AH10" s="636"/>
      <c r="AI10" s="645"/>
      <c r="AJ10" s="269"/>
      <c r="AK10" s="626"/>
      <c r="AL10" s="147"/>
      <c r="AM10" s="655"/>
      <c r="AN10" s="324"/>
      <c r="AO10" s="349" t="str">
        <f t="shared" si="22"/>
        <v xml:space="preserve">Er geldt een continue meetverplichting (art 4.79). </v>
      </c>
      <c r="AP10" s="325" t="str">
        <f t="shared" si="19"/>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10" s="325" t="str">
        <f t="shared" si="19"/>
        <v>De aangetoonde meetonzekerheid mag niet groter zijn dan 40% van de emissie-eis of 0,4 mg/Nm3 (art. 4.88).</v>
      </c>
      <c r="AR10"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25"/>
      <c r="AT10" s="155"/>
      <c r="AU10" s="157"/>
      <c r="AV10" s="157"/>
      <c r="AW10" s="157"/>
      <c r="AX10" s="151"/>
    </row>
    <row r="11" spans="1:50" x14ac:dyDescent="0.2">
      <c r="A11" s="295"/>
      <c r="B11" s="340"/>
      <c r="C11" s="341"/>
      <c r="D11" s="326"/>
      <c r="E11" s="46"/>
      <c r="F11" s="46"/>
      <c r="G11" s="147"/>
      <c r="H11" s="147"/>
      <c r="I11" s="148"/>
      <c r="J11" s="147"/>
      <c r="K11" s="148"/>
      <c r="L11" s="147"/>
      <c r="M11" s="56"/>
      <c r="N11" s="147"/>
      <c r="O11" s="59"/>
      <c r="P11" s="279"/>
      <c r="Q11" s="160"/>
      <c r="R11" s="149"/>
      <c r="S11" s="149"/>
      <c r="T11" s="149"/>
      <c r="U11" s="150"/>
      <c r="V11" s="150"/>
      <c r="W11" s="150"/>
      <c r="X11" s="150"/>
      <c r="Y11" s="151"/>
      <c r="Z11" s="143"/>
      <c r="AA11" s="144"/>
      <c r="AB11" s="143"/>
      <c r="AC11" s="145"/>
      <c r="AD11" s="146"/>
      <c r="AE11" s="276"/>
      <c r="AF11" s="152"/>
      <c r="AG11" s="147"/>
      <c r="AH11" s="636"/>
      <c r="AI11" s="645"/>
      <c r="AJ11" s="269"/>
      <c r="AK11" s="626"/>
      <c r="AL11" s="147"/>
      <c r="AM11" s="655"/>
      <c r="AN11" s="154"/>
      <c r="AO11" s="156"/>
      <c r="AP11" s="684"/>
      <c r="AQ11" s="155"/>
      <c r="AR11" s="155"/>
      <c r="AS11" s="149"/>
      <c r="AT11" s="155"/>
      <c r="AU11" s="157"/>
      <c r="AV11" s="157"/>
      <c r="AW11" s="157"/>
      <c r="AX11" s="151"/>
    </row>
    <row r="12" spans="1:50" x14ac:dyDescent="0.2">
      <c r="A12" s="363" t="s">
        <v>337</v>
      </c>
      <c r="B12" s="364"/>
      <c r="C12" s="365"/>
      <c r="D12" s="366"/>
      <c r="E12" s="367"/>
      <c r="F12" s="367"/>
      <c r="G12" s="368"/>
      <c r="H12" s="368"/>
      <c r="I12" s="369"/>
      <c r="J12" s="368"/>
      <c r="K12" s="369"/>
      <c r="L12" s="368"/>
      <c r="M12" s="370"/>
      <c r="N12" s="368"/>
      <c r="O12" s="371"/>
      <c r="P12" s="372"/>
      <c r="Q12" s="373"/>
      <c r="R12" s="374"/>
      <c r="S12" s="374"/>
      <c r="T12" s="374"/>
      <c r="U12" s="375"/>
      <c r="V12" s="375"/>
      <c r="W12" s="375"/>
      <c r="X12" s="375"/>
      <c r="Y12" s="376"/>
      <c r="Z12" s="377"/>
      <c r="AA12" s="378"/>
      <c r="AB12" s="377"/>
      <c r="AC12" s="379"/>
      <c r="AD12" s="380"/>
      <c r="AE12" s="381"/>
      <c r="AF12" s="382"/>
      <c r="AG12" s="368"/>
      <c r="AH12" s="637"/>
      <c r="AI12" s="646"/>
      <c r="AJ12" s="383"/>
      <c r="AK12" s="627"/>
      <c r="AL12" s="368"/>
      <c r="AM12" s="656"/>
      <c r="AN12" s="345"/>
      <c r="AO12" s="686" t="s">
        <v>243</v>
      </c>
      <c r="AP12" s="333" t="s">
        <v>471</v>
      </c>
      <c r="AQ12" s="346" t="s">
        <v>473</v>
      </c>
      <c r="AR12" s="346" t="s">
        <v>192</v>
      </c>
      <c r="AS12" s="346"/>
      <c r="AT12" s="336"/>
      <c r="AU12" s="337"/>
      <c r="AV12" s="337"/>
      <c r="AW12" s="337"/>
      <c r="AX12" s="335"/>
    </row>
    <row r="13" spans="1:50" x14ac:dyDescent="0.2">
      <c r="A13" s="296"/>
      <c r="B13" s="339">
        <f t="shared" ca="1" si="13"/>
        <v>0</v>
      </c>
      <c r="C13" s="249">
        <f t="shared" ca="1" si="14"/>
        <v>0</v>
      </c>
      <c r="D13" s="246">
        <f ca="1">IF(AND(OR($Z13="",INGVAN="",$Z13&lt;=INGVAN),OR($Z13="",INGTOT="",$Z13&lt;=INGTOT),OR($AA13="",INGVAN="",$AA13&gt;=INGVAN),OR($AA13="",INGTOT="",$AA13&gt;=INGTOT)),1,0)</f>
        <v>1</v>
      </c>
      <c r="E13" s="247">
        <f t="shared" ca="1" si="15"/>
        <v>0</v>
      </c>
      <c r="F13" s="247">
        <f t="shared" ca="1" si="16"/>
        <v>1</v>
      </c>
      <c r="G13" s="147">
        <f ca="1">IF(AND(SI&lt;&gt;17,OR(ParBAL1="4.4",ParBAL2="4.4")),1,0)</f>
        <v>0</v>
      </c>
      <c r="H13" s="147"/>
      <c r="I13" s="148"/>
      <c r="J13" s="147"/>
      <c r="K13" s="148"/>
      <c r="L13" s="147">
        <f ca="1">IF(OR(TBRAND1=3,AND(G13=1,N13=0)),1,0)</f>
        <v>0</v>
      </c>
      <c r="M13" s="248">
        <f t="shared" ref="M13" ca="1" si="23">IF(AND(ParBAL1&lt;&gt;"",ParBAL1=P13),1,0)</f>
        <v>0</v>
      </c>
      <c r="N13" s="147">
        <f ca="1">IF(TBRAND2=3,1,0)</f>
        <v>0</v>
      </c>
      <c r="O13" s="249">
        <f t="shared" ref="O13" ca="1" si="24">IF(AND(ParBAL2&lt;&gt;"",ParBAL2=P13),1,0)</f>
        <v>0</v>
      </c>
      <c r="P13" s="291" t="s">
        <v>39</v>
      </c>
      <c r="Q13" s="160" t="s">
        <v>267</v>
      </c>
      <c r="R13" s="149"/>
      <c r="S13" s="149"/>
      <c r="T13" s="149"/>
      <c r="U13" s="150"/>
      <c r="V13" s="150"/>
      <c r="W13" s="150"/>
      <c r="X13" s="150"/>
      <c r="Y13" s="151"/>
      <c r="Z13" s="143"/>
      <c r="AA13" s="144">
        <f>IWTBAL-1</f>
        <v>45291</v>
      </c>
      <c r="AB13" s="143"/>
      <c r="AC13" s="145">
        <v>45241</v>
      </c>
      <c r="AD13" s="146"/>
      <c r="AE13" s="276" t="s">
        <v>124</v>
      </c>
      <c r="AF13" s="152" t="s">
        <v>468</v>
      </c>
      <c r="AG13" s="147"/>
      <c r="AH13" s="636"/>
      <c r="AI13" s="645"/>
      <c r="AJ13" s="269"/>
      <c r="AK13" s="626"/>
      <c r="AL13" s="147"/>
      <c r="AM13" s="655"/>
      <c r="AN13" s="324"/>
      <c r="AO13" s="349" t="str">
        <f t="shared" si="22"/>
        <v xml:space="preserve">Er geldt een continue meetverplichting (art 4.79). </v>
      </c>
      <c r="AP13" s="325" t="str">
        <f t="shared" si="19"/>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13" s="325" t="str">
        <f t="shared" si="19"/>
        <v>De aangetoonde meetonzekerheid mag niet groter zijn dan 40% van de emissie-eis of 0,4 mg/Nm3 (art. 4.88).</v>
      </c>
      <c r="AR13"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25"/>
      <c r="AT13" s="155"/>
      <c r="AU13" s="157"/>
      <c r="AV13" s="157"/>
      <c r="AW13" s="157"/>
      <c r="AX13" s="151"/>
    </row>
    <row r="14" spans="1:50" x14ac:dyDescent="0.2">
      <c r="A14" s="584"/>
      <c r="B14" s="585"/>
      <c r="C14" s="586"/>
      <c r="D14" s="587"/>
      <c r="E14" s="588"/>
      <c r="F14" s="588"/>
      <c r="G14" s="589"/>
      <c r="H14" s="589"/>
      <c r="I14" s="590"/>
      <c r="J14" s="589"/>
      <c r="K14" s="590"/>
      <c r="L14" s="589"/>
      <c r="M14" s="591"/>
      <c r="N14" s="589"/>
      <c r="O14" s="592"/>
      <c r="P14" s="593"/>
      <c r="Q14" s="594"/>
      <c r="R14" s="595"/>
      <c r="S14" s="595"/>
      <c r="T14" s="595"/>
      <c r="U14" s="596"/>
      <c r="V14" s="596"/>
      <c r="W14" s="596"/>
      <c r="X14" s="596"/>
      <c r="Y14" s="597"/>
      <c r="Z14" s="598"/>
      <c r="AA14" s="599"/>
      <c r="AB14" s="598"/>
      <c r="AC14" s="600"/>
      <c r="AD14" s="601"/>
      <c r="AE14" s="602"/>
      <c r="AF14" s="603"/>
      <c r="AG14" s="589"/>
      <c r="AH14" s="638"/>
      <c r="AI14" s="647"/>
      <c r="AJ14" s="604"/>
      <c r="AK14" s="628"/>
      <c r="AL14" s="589"/>
      <c r="AM14" s="657"/>
      <c r="AN14" s="605"/>
      <c r="AO14" s="858"/>
      <c r="AP14" s="606"/>
      <c r="AQ14" s="606"/>
      <c r="AR14" s="606"/>
      <c r="AS14" s="595"/>
      <c r="AT14" s="606"/>
      <c r="AU14" s="607"/>
      <c r="AV14" s="607"/>
      <c r="AW14" s="607"/>
      <c r="AX14" s="597"/>
    </row>
    <row r="15" spans="1:50" x14ac:dyDescent="0.2">
      <c r="A15" s="393" t="s">
        <v>294</v>
      </c>
      <c r="B15" s="394"/>
      <c r="C15" s="395"/>
      <c r="D15" s="396"/>
      <c r="E15" s="397"/>
      <c r="F15" s="397"/>
      <c r="G15" s="398"/>
      <c r="H15" s="398"/>
      <c r="I15" s="399"/>
      <c r="J15" s="398"/>
      <c r="K15" s="399"/>
      <c r="L15" s="398"/>
      <c r="M15" s="400"/>
      <c r="N15" s="398"/>
      <c r="O15" s="401"/>
      <c r="P15" s="402"/>
      <c r="Q15" s="403"/>
      <c r="R15" s="404"/>
      <c r="S15" s="404"/>
      <c r="T15" s="404"/>
      <c r="U15" s="405"/>
      <c r="V15" s="405"/>
      <c r="W15" s="405"/>
      <c r="X15" s="405"/>
      <c r="Y15" s="406"/>
      <c r="Z15" s="407"/>
      <c r="AA15" s="408"/>
      <c r="AB15" s="407"/>
      <c r="AC15" s="409"/>
      <c r="AD15" s="410"/>
      <c r="AE15" s="411"/>
      <c r="AF15" s="412"/>
      <c r="AG15" s="398"/>
      <c r="AH15" s="639"/>
      <c r="AI15" s="648"/>
      <c r="AJ15" s="413"/>
      <c r="AK15" s="629"/>
      <c r="AL15" s="398"/>
      <c r="AM15" s="658"/>
      <c r="AN15" s="332"/>
      <c r="AO15" s="859" t="s">
        <v>426</v>
      </c>
      <c r="AP15" s="333" t="s">
        <v>472</v>
      </c>
      <c r="AQ15" s="333"/>
      <c r="AR15" s="333" t="s">
        <v>410</v>
      </c>
      <c r="AS15" s="333"/>
      <c r="AT15" s="330"/>
      <c r="AU15" s="331"/>
      <c r="AV15" s="331"/>
      <c r="AW15" s="331"/>
      <c r="AX15" s="328"/>
    </row>
    <row r="16" spans="1:50" x14ac:dyDescent="0.2">
      <c r="A16" s="295"/>
      <c r="B16" s="339">
        <f t="shared" ref="B16:B18" ca="1" si="25">IF(AND(SUM(D16:K16,L16:M16)=COUNT(D16:K16,L16:M16),COUNT(D16:K16,L16:M16)&gt;0),ROW(B16),0)</f>
        <v>0</v>
      </c>
      <c r="C16" s="249">
        <f t="shared" ref="C16:C18" ca="1" si="26">IF(AND(SUM(D16:K16,N16:O16)=COUNT(D16:K16,N16:O16),COUNT(D16:K16,N16:O16)&gt;0),ROW(B16),0)</f>
        <v>0</v>
      </c>
      <c r="D16" s="246">
        <f t="shared" ref="D16:D19" ca="1" si="27">IF(AND(OR($Z16="",INGVAN="",$Z16&lt;=INGVAN),OR($Z16="",INGTOT="",$Z16&lt;=INGTOT),OR($AA16="",INGVAN="",$AA16&gt;=INGVAN),OR($AA16="",INGTOT="",$AA16&gt;=INGTOT)),1,0)</f>
        <v>1</v>
      </c>
      <c r="E16" s="247">
        <f t="shared" ref="E16" ca="1" si="28">IF(AND(OR($AB16="",Tdatum&gt;=$AB16,AND(AB16&lt;&gt;"",ISNUMBER(FIND("j",LOWER(AD16))))),OR($AC16="",Tdatum&lt;=$AC16)),1,0)</f>
        <v>1</v>
      </c>
      <c r="F16" s="247">
        <f t="shared" ca="1" si="16"/>
        <v>1</v>
      </c>
      <c r="G16" s="147"/>
      <c r="H16" s="147"/>
      <c r="I16" s="148"/>
      <c r="J16" s="147"/>
      <c r="K16" s="148"/>
      <c r="L16" s="147">
        <f ca="1">IF(BRAND1=19,1,0)</f>
        <v>0</v>
      </c>
      <c r="M16" s="248">
        <f ca="1">IF(AND(ParBAL1&lt;&gt;"",ParBAL1=P16,ParBAL2="4.4"),1,0)</f>
        <v>0</v>
      </c>
      <c r="N16" s="147">
        <f ca="1">IF(BRAND2=19,1,0)</f>
        <v>0</v>
      </c>
      <c r="O16" s="249">
        <f ca="1">IF(AND(ParBAL2&lt;&gt;"",ParBAL2=P16,ParBAL1="4.4"),1,0)</f>
        <v>0</v>
      </c>
      <c r="P16" s="279" t="s">
        <v>40</v>
      </c>
      <c r="Q16" s="149" t="s">
        <v>480</v>
      </c>
      <c r="R16" s="149"/>
      <c r="S16" s="149"/>
      <c r="T16" s="149"/>
      <c r="U16" s="150"/>
      <c r="V16" s="150"/>
      <c r="W16" s="150"/>
      <c r="X16" s="150"/>
      <c r="Y16" s="151"/>
      <c r="Z16" s="143"/>
      <c r="AA16" s="144"/>
      <c r="AB16" s="143"/>
      <c r="AC16" s="145"/>
      <c r="AD16" s="146"/>
      <c r="AE16" s="276" t="s">
        <v>462</v>
      </c>
      <c r="AF16" s="152" t="s">
        <v>401</v>
      </c>
      <c r="AG16" s="147"/>
      <c r="AH16" s="636"/>
      <c r="AI16" s="645"/>
      <c r="AJ16" s="269"/>
      <c r="AK16" s="626"/>
      <c r="AL16" s="147"/>
      <c r="AM16" s="655"/>
      <c r="AN16" s="347"/>
      <c r="AO16" s="860"/>
      <c r="AP16" s="325"/>
      <c r="AQ16" s="325"/>
      <c r="AR16" s="325"/>
      <c r="AS16" s="348"/>
      <c r="AT16" s="149"/>
      <c r="AU16" s="150"/>
      <c r="AV16" s="150"/>
      <c r="AW16" s="150"/>
      <c r="AX16" s="151"/>
    </row>
    <row r="17" spans="1:50" x14ac:dyDescent="0.2">
      <c r="A17" s="295"/>
      <c r="B17" s="339">
        <f t="shared" ca="1" si="25"/>
        <v>0</v>
      </c>
      <c r="C17" s="249">
        <f t="shared" ca="1" si="26"/>
        <v>0</v>
      </c>
      <c r="D17" s="246">
        <f t="shared" ca="1" si="27"/>
        <v>1</v>
      </c>
      <c r="E17" s="247">
        <f t="shared" ca="1" si="15"/>
        <v>1</v>
      </c>
      <c r="F17" s="247">
        <f t="shared" ca="1" si="16"/>
        <v>1</v>
      </c>
      <c r="G17" s="147"/>
      <c r="H17" s="147"/>
      <c r="I17" s="148"/>
      <c r="J17" s="147"/>
      <c r="K17" s="148"/>
      <c r="L17" s="147">
        <f ca="1">IF(OR(BRAND1=8,BRAND1=9,BRAND1=10),1,0)</f>
        <v>0</v>
      </c>
      <c r="M17" s="248">
        <f t="shared" ca="1" si="20"/>
        <v>0</v>
      </c>
      <c r="N17" s="147">
        <f ca="1">IF(OR(BRAND2=8,BRAND2=9,BRAND2=10),1,0)</f>
        <v>0</v>
      </c>
      <c r="O17" s="249">
        <f t="shared" ca="1" si="21"/>
        <v>0</v>
      </c>
      <c r="P17" s="279" t="s">
        <v>40</v>
      </c>
      <c r="Q17" s="149" t="s">
        <v>9</v>
      </c>
      <c r="R17" s="149" t="s">
        <v>418</v>
      </c>
      <c r="S17" s="149"/>
      <c r="T17" s="149"/>
      <c r="U17" s="150"/>
      <c r="V17" s="150"/>
      <c r="W17" s="150"/>
      <c r="X17" s="150"/>
      <c r="Y17" s="151"/>
      <c r="Z17" s="143"/>
      <c r="AA17" s="144"/>
      <c r="AB17" s="143"/>
      <c r="AC17" s="145"/>
      <c r="AD17" s="146"/>
      <c r="AE17" s="276" t="s">
        <v>409</v>
      </c>
      <c r="AF17" s="152" t="s">
        <v>468</v>
      </c>
      <c r="AG17" s="147"/>
      <c r="AH17" s="636"/>
      <c r="AI17" s="645"/>
      <c r="AJ17" s="269"/>
      <c r="AK17" s="626"/>
      <c r="AL17" s="147"/>
      <c r="AM17" s="655"/>
      <c r="AN17" s="324"/>
      <c r="AO17" s="349" t="s">
        <v>465</v>
      </c>
      <c r="AP17" s="325" t="str">
        <f t="shared" ref="AO17:AR19" si="29">AP$15</f>
        <v xml:space="preserve">Een periodieke meting bestaat uit drie deelmetingen van ten minste 30 minuten. De metingen worden uitgevoerd door een geaccrediteerd laboratorium volgens NEN-ISO 15713 (art. 4.40 en 4.48). </v>
      </c>
      <c r="AQ17" s="325"/>
      <c r="AR17" s="325" t="str">
        <f t="shared" si="29"/>
        <v>De installatie voldoet aan de gestelde emissie-eis als alle gevalideerde meetresultaten van de deelmetingen lager zijn dan de emissie-eis (art. 4.44). Een gevalideerd meetresultaat is het meetresultaat nadat de aangetoonde meetonzekerheid in mindering is gebracht.</v>
      </c>
      <c r="AS17" s="325"/>
      <c r="AT17" s="149"/>
      <c r="AU17" s="150"/>
      <c r="AV17" s="150"/>
      <c r="AW17" s="150"/>
      <c r="AX17" s="158"/>
    </row>
    <row r="18" spans="1:50" x14ac:dyDescent="0.2">
      <c r="A18" s="295"/>
      <c r="B18" s="339">
        <f t="shared" ca="1" si="25"/>
        <v>0</v>
      </c>
      <c r="C18" s="249">
        <f t="shared" ca="1" si="26"/>
        <v>0</v>
      </c>
      <c r="D18" s="246">
        <f t="shared" ca="1" si="27"/>
        <v>1</v>
      </c>
      <c r="E18" s="247">
        <f t="shared" ca="1" si="15"/>
        <v>1</v>
      </c>
      <c r="F18" s="247">
        <f t="shared" ca="1" si="16"/>
        <v>1</v>
      </c>
      <c r="G18" s="147"/>
      <c r="H18" s="147"/>
      <c r="I18" s="148"/>
      <c r="J18" s="147"/>
      <c r="K18" s="148"/>
      <c r="L18" s="147">
        <f ca="1">IF(AND(FBRAND1="s",BRAND1&lt;&gt;8,BRAND1&lt;&gt;9,BRAND1&lt;&gt;10),1,0)</f>
        <v>0</v>
      </c>
      <c r="M18" s="248">
        <f t="shared" ca="1" si="20"/>
        <v>0</v>
      </c>
      <c r="N18" s="147">
        <f ca="1">IF(AND(FBRAND2="s",BRAND2&lt;&gt;8,BRAND2&lt;&gt;9,BRAND2&lt;&gt;10),1,0)</f>
        <v>0</v>
      </c>
      <c r="O18" s="249">
        <f t="shared" ca="1" si="21"/>
        <v>0</v>
      </c>
      <c r="P18" s="279" t="s">
        <v>40</v>
      </c>
      <c r="Q18" s="149" t="s">
        <v>9</v>
      </c>
      <c r="R18" s="149" t="s">
        <v>459</v>
      </c>
      <c r="S18" s="149"/>
      <c r="T18" s="149"/>
      <c r="U18" s="150"/>
      <c r="V18" s="150"/>
      <c r="W18" s="150"/>
      <c r="X18" s="150"/>
      <c r="Y18" s="151"/>
      <c r="Z18" s="143"/>
      <c r="AA18" s="144"/>
      <c r="AB18" s="143"/>
      <c r="AC18" s="145"/>
      <c r="AD18" s="146"/>
      <c r="AE18" s="276" t="s">
        <v>409</v>
      </c>
      <c r="AF18" s="152" t="s">
        <v>423</v>
      </c>
      <c r="AG18" s="147"/>
      <c r="AH18" s="636"/>
      <c r="AI18" s="645"/>
      <c r="AJ18" s="269"/>
      <c r="AK18" s="626"/>
      <c r="AL18" s="147"/>
      <c r="AM18" s="655"/>
      <c r="AN18" s="324"/>
      <c r="AO18" s="349" t="str">
        <f t="shared" si="29"/>
        <v>Er geldt een periodiek meetverplichting van eens per jaar (art 4.41a).</v>
      </c>
      <c r="AP18" s="325" t="str">
        <f t="shared" si="29"/>
        <v xml:space="preserve">Een periodieke meting bestaat uit drie deelmetingen van ten minste 30 minuten. De metingen worden uitgevoerd door een geaccrediteerd laboratorium volgens NEN-ISO 15713 (art. 4.40 en 4.48). </v>
      </c>
      <c r="AQ18" s="325"/>
      <c r="AR18" s="325" t="str">
        <f t="shared" si="29"/>
        <v>De installatie voldoet aan de gestelde emissie-eis als alle gevalideerde meetresultaten van de deelmetingen lager zijn dan de emissie-eis (art. 4.44). Een gevalideerd meetresultaat is het meetresultaat nadat de aangetoonde meetonzekerheid in mindering is gebracht.</v>
      </c>
      <c r="AS18" s="325"/>
      <c r="AT18" s="149"/>
      <c r="AU18" s="150"/>
      <c r="AV18" s="150"/>
      <c r="AW18" s="150"/>
      <c r="AX18" s="158"/>
    </row>
    <row r="19" spans="1:50" x14ac:dyDescent="0.2">
      <c r="A19" s="295"/>
      <c r="B19" s="339">
        <f t="shared" ref="B19" ca="1" si="30">IF(AND(SUM(D19:K19,L19:M19)=COUNT(D19:K19,L19:M19),COUNT(D19:K19,L19:M19)&gt;0),ROW(B19),0)</f>
        <v>0</v>
      </c>
      <c r="C19" s="249">
        <f t="shared" ref="C19" ca="1" si="31">IF(AND(SUM(D19:K19,N19:O19)=COUNT(D19:K19,N19:O19),COUNT(D19:K19,N19:O19)&gt;0),ROW(B19),0)</f>
        <v>0</v>
      </c>
      <c r="D19" s="246">
        <f t="shared" ca="1" si="27"/>
        <v>1</v>
      </c>
      <c r="E19" s="247">
        <f t="shared" ref="E19" ca="1" si="32">IF(AND(OR($AB19="",Tdatum&gt;=$AB19,AND(AB19&lt;&gt;"",ISNUMBER(FIND("j",LOWER(AD19))))),OR($AC19="",Tdatum&lt;=$AC19)),1,0)</f>
        <v>1</v>
      </c>
      <c r="F19" s="247">
        <f t="shared" ca="1" si="16"/>
        <v>1</v>
      </c>
      <c r="G19" s="147"/>
      <c r="H19" s="147"/>
      <c r="I19" s="148"/>
      <c r="J19" s="147"/>
      <c r="K19" s="148"/>
      <c r="L19" s="147">
        <f ca="1">IF(FBRAND1="l",1,0)</f>
        <v>0</v>
      </c>
      <c r="M19" s="248">
        <f t="shared" ref="M19" ca="1" si="33">IF(AND(ParBAL1&lt;&gt;"",ParBAL1=P19),1,0)</f>
        <v>0</v>
      </c>
      <c r="N19" s="147">
        <f ca="1">IF(FBRAND2="l",1,0)</f>
        <v>0</v>
      </c>
      <c r="O19" s="249">
        <f t="shared" ref="O19" ca="1" si="34">IF(AND(ParBAL2&lt;&gt;"",ParBAL2=P19),1,0)</f>
        <v>0</v>
      </c>
      <c r="P19" s="279" t="s">
        <v>40</v>
      </c>
      <c r="Q19" s="149" t="s">
        <v>9</v>
      </c>
      <c r="R19" s="149" t="s">
        <v>476</v>
      </c>
      <c r="S19" s="149"/>
      <c r="T19" s="149"/>
      <c r="U19" s="150"/>
      <c r="V19" s="150"/>
      <c r="W19" s="150"/>
      <c r="X19" s="150"/>
      <c r="Y19" s="151"/>
      <c r="Z19" s="143"/>
      <c r="AA19" s="144"/>
      <c r="AB19" s="143"/>
      <c r="AC19" s="145"/>
      <c r="AD19" s="146"/>
      <c r="AE19" s="276" t="s">
        <v>409</v>
      </c>
      <c r="AF19" s="152" t="s">
        <v>423</v>
      </c>
      <c r="AG19" s="147"/>
      <c r="AH19" s="636"/>
      <c r="AI19" s="645"/>
      <c r="AJ19" s="269"/>
      <c r="AK19" s="626"/>
      <c r="AL19" s="147"/>
      <c r="AM19" s="655"/>
      <c r="AN19" s="324"/>
      <c r="AO19" s="349" t="str">
        <f t="shared" si="29"/>
        <v>Er geldt een periodiek meetverplichting van eens per jaar (art 4.41a).</v>
      </c>
      <c r="AP19" s="325" t="str">
        <f t="shared" si="29"/>
        <v xml:space="preserve">Een periodieke meting bestaat uit drie deelmetingen van ten minste 30 minuten. De metingen worden uitgevoerd door een geaccrediteerd laboratorium volgens NEN-ISO 15713 (art. 4.40 en 4.48). </v>
      </c>
      <c r="AQ19" s="325"/>
      <c r="AR19" s="325" t="str">
        <f t="shared" si="29"/>
        <v>De installatie voldoet aan de gestelde emissie-eis als alle gevalideerde meetresultaten van de deelmetingen lager zijn dan de emissie-eis (art. 4.44). Een gevalideerd meetresultaat is het meetresultaat nadat de aangetoonde meetonzekerheid in mindering is gebracht.</v>
      </c>
      <c r="AS19" s="325"/>
      <c r="AT19" s="149"/>
      <c r="AU19" s="150"/>
      <c r="AV19" s="150"/>
      <c r="AW19" s="150"/>
      <c r="AX19" s="158"/>
    </row>
    <row r="20" spans="1:50" x14ac:dyDescent="0.2">
      <c r="A20" s="295"/>
      <c r="B20" s="340"/>
      <c r="C20" s="341"/>
      <c r="D20" s="326"/>
      <c r="E20" s="46"/>
      <c r="F20" s="46"/>
      <c r="G20" s="147"/>
      <c r="H20" s="147"/>
      <c r="I20" s="148"/>
      <c r="J20" s="147"/>
      <c r="K20" s="148"/>
      <c r="L20" s="147"/>
      <c r="M20" s="56"/>
      <c r="N20" s="147"/>
      <c r="O20" s="59"/>
      <c r="P20" s="279"/>
      <c r="Q20" s="160"/>
      <c r="R20" s="149"/>
      <c r="S20" s="149"/>
      <c r="T20" s="149"/>
      <c r="U20" s="150"/>
      <c r="V20" s="150"/>
      <c r="W20" s="150"/>
      <c r="X20" s="150"/>
      <c r="Y20" s="151"/>
      <c r="Z20" s="143"/>
      <c r="AA20" s="144"/>
      <c r="AB20" s="143"/>
      <c r="AC20" s="145"/>
      <c r="AD20" s="146"/>
      <c r="AE20" s="276"/>
      <c r="AF20" s="152"/>
      <c r="AG20" s="147"/>
      <c r="AH20" s="636"/>
      <c r="AI20" s="645"/>
      <c r="AJ20" s="269"/>
      <c r="AK20" s="626"/>
      <c r="AL20" s="147"/>
      <c r="AM20" s="655"/>
      <c r="AN20" s="683"/>
      <c r="AO20" s="685"/>
      <c r="AP20" s="684"/>
      <c r="AQ20" s="684"/>
      <c r="AR20" s="684"/>
      <c r="AS20" s="149"/>
      <c r="AT20" s="155"/>
      <c r="AU20" s="157"/>
      <c r="AV20" s="157"/>
      <c r="AW20" s="157"/>
      <c r="AX20" s="151"/>
    </row>
    <row r="21" spans="1:50" x14ac:dyDescent="0.2">
      <c r="A21" s="363" t="s">
        <v>338</v>
      </c>
      <c r="B21" s="364"/>
      <c r="C21" s="365"/>
      <c r="D21" s="366"/>
      <c r="E21" s="367"/>
      <c r="F21" s="367"/>
      <c r="G21" s="368"/>
      <c r="H21" s="368"/>
      <c r="I21" s="369"/>
      <c r="J21" s="368"/>
      <c r="K21" s="369"/>
      <c r="L21" s="368"/>
      <c r="M21" s="370"/>
      <c r="N21" s="368"/>
      <c r="O21" s="371"/>
      <c r="P21" s="372"/>
      <c r="Q21" s="373"/>
      <c r="R21" s="374"/>
      <c r="S21" s="374"/>
      <c r="T21" s="374"/>
      <c r="U21" s="375"/>
      <c r="V21" s="375"/>
      <c r="W21" s="375"/>
      <c r="X21" s="375"/>
      <c r="Y21" s="376"/>
      <c r="Z21" s="377"/>
      <c r="AA21" s="378"/>
      <c r="AB21" s="377"/>
      <c r="AC21" s="379"/>
      <c r="AD21" s="380"/>
      <c r="AE21" s="381"/>
      <c r="AF21" s="382"/>
      <c r="AG21" s="368"/>
      <c r="AH21" s="637"/>
      <c r="AI21" s="646"/>
      <c r="AJ21" s="383"/>
      <c r="AK21" s="627"/>
      <c r="AL21" s="368"/>
      <c r="AM21" s="656"/>
      <c r="AN21" s="332"/>
      <c r="AO21" s="859" t="s">
        <v>426</v>
      </c>
      <c r="AP21" s="333" t="s">
        <v>427</v>
      </c>
      <c r="AQ21" s="333"/>
      <c r="AR21" s="333" t="s">
        <v>410</v>
      </c>
      <c r="AS21" s="346"/>
      <c r="AT21" s="336"/>
      <c r="AU21" s="337"/>
      <c r="AV21" s="337"/>
      <c r="AW21" s="337"/>
      <c r="AX21" s="335"/>
    </row>
    <row r="22" spans="1:50" x14ac:dyDescent="0.2">
      <c r="A22" s="584"/>
      <c r="B22" s="585"/>
      <c r="C22" s="586"/>
      <c r="D22" s="587"/>
      <c r="E22" s="588"/>
      <c r="F22" s="588"/>
      <c r="G22" s="589"/>
      <c r="H22" s="589"/>
      <c r="I22" s="590"/>
      <c r="J22" s="589"/>
      <c r="K22" s="590"/>
      <c r="L22" s="589"/>
      <c r="M22" s="591"/>
      <c r="N22" s="589"/>
      <c r="O22" s="592"/>
      <c r="P22" s="593"/>
      <c r="Q22" s="594"/>
      <c r="R22" s="595"/>
      <c r="S22" s="595"/>
      <c r="T22" s="595"/>
      <c r="U22" s="596"/>
      <c r="V22" s="596"/>
      <c r="W22" s="596"/>
      <c r="X22" s="596"/>
      <c r="Y22" s="597"/>
      <c r="Z22" s="598"/>
      <c r="AA22" s="599"/>
      <c r="AB22" s="598"/>
      <c r="AC22" s="600"/>
      <c r="AD22" s="601"/>
      <c r="AE22" s="602"/>
      <c r="AF22" s="603"/>
      <c r="AG22" s="589"/>
      <c r="AH22" s="638"/>
      <c r="AI22" s="647"/>
      <c r="AJ22" s="604"/>
      <c r="AK22" s="628"/>
      <c r="AL22" s="589"/>
      <c r="AM22" s="657"/>
      <c r="AN22" s="605"/>
      <c r="AO22" s="858"/>
      <c r="AP22" s="606"/>
      <c r="AQ22" s="606"/>
      <c r="AR22" s="606"/>
      <c r="AS22" s="595"/>
      <c r="AT22" s="606"/>
      <c r="AU22" s="607"/>
      <c r="AV22" s="607"/>
      <c r="AW22" s="607"/>
      <c r="AX22" s="597"/>
    </row>
    <row r="23" spans="1:50" x14ac:dyDescent="0.2">
      <c r="A23" s="393" t="s">
        <v>293</v>
      </c>
      <c r="B23" s="394"/>
      <c r="C23" s="395"/>
      <c r="D23" s="396"/>
      <c r="E23" s="397"/>
      <c r="F23" s="397"/>
      <c r="G23" s="398"/>
      <c r="H23" s="398"/>
      <c r="I23" s="399"/>
      <c r="J23" s="398"/>
      <c r="K23" s="399"/>
      <c r="L23" s="398"/>
      <c r="M23" s="400"/>
      <c r="N23" s="398"/>
      <c r="O23" s="401"/>
      <c r="P23" s="402"/>
      <c r="Q23" s="403"/>
      <c r="R23" s="404"/>
      <c r="S23" s="404"/>
      <c r="T23" s="404"/>
      <c r="U23" s="405"/>
      <c r="V23" s="405"/>
      <c r="W23" s="405"/>
      <c r="X23" s="405"/>
      <c r="Y23" s="406"/>
      <c r="Z23" s="407"/>
      <c r="AA23" s="408"/>
      <c r="AB23" s="407"/>
      <c r="AC23" s="409"/>
      <c r="AD23" s="410"/>
      <c r="AE23" s="411"/>
      <c r="AF23" s="412"/>
      <c r="AG23" s="398"/>
      <c r="AH23" s="639"/>
      <c r="AI23" s="648"/>
      <c r="AJ23" s="413"/>
      <c r="AK23" s="629"/>
      <c r="AL23" s="398"/>
      <c r="AM23" s="658"/>
      <c r="AN23" s="332"/>
      <c r="AO23" s="859"/>
      <c r="AP23" s="333"/>
      <c r="AQ23" s="333"/>
      <c r="AR23" s="333"/>
      <c r="AS23" s="327"/>
      <c r="AT23" s="330"/>
      <c r="AU23" s="331"/>
      <c r="AV23" s="331"/>
      <c r="AW23" s="331"/>
      <c r="AX23" s="328"/>
    </row>
    <row r="24" spans="1:50" x14ac:dyDescent="0.2">
      <c r="A24" s="295"/>
      <c r="B24" s="339">
        <f t="shared" ref="B24" ca="1" si="35">IF(AND(SUM(D24:K24,L24:M24)=COUNT(D24:K24,L24:M24),COUNT(D24:K24,L24:M24)&gt;0),ROW(B24),0)</f>
        <v>0</v>
      </c>
      <c r="C24" s="249">
        <f t="shared" ref="C24" ca="1" si="36">IF(AND(SUM(D24:K24,N24:O24)=COUNT(D24:K24,N24:O24),COUNT(D24:K24,N24:O24)&gt;0),ROW(B24),0)</f>
        <v>0</v>
      </c>
      <c r="D24" s="246">
        <f t="shared" ref="D24" ca="1" si="37">IF(AND(OR($Z24="",INGVAN="",$Z24&lt;=INGVAN),OR($Z24="",INGTOT="",$Z24&lt;=INGTOT),OR($AA24="",INGVAN="",$AA24&gt;=INGVAN),OR($AA24="",INGTOT="",$AA24&gt;=INGTOT)),1,0)</f>
        <v>1</v>
      </c>
      <c r="E24" s="247">
        <f t="shared" ref="E24" ca="1" si="38">IF(AND(OR($AB24="",Tdatum&gt;=$AB24,AND(AB24&lt;&gt;"",ISNUMBER(FIND("j",LOWER(AD24))))),OR($AC24="",Tdatum&lt;=$AC24)),1,0)</f>
        <v>1</v>
      </c>
      <c r="F24" s="247">
        <f t="shared" ca="1" si="16"/>
        <v>1</v>
      </c>
      <c r="G24" s="147"/>
      <c r="H24" s="147"/>
      <c r="I24" s="148"/>
      <c r="J24" s="147"/>
      <c r="K24" s="148"/>
      <c r="L24" s="147"/>
      <c r="M24" s="248">
        <f ca="1">IF(AND(ParBAL1&lt;&gt;"",ParBAL1=P24,ParBAL2="4.4"),1,0)</f>
        <v>0</v>
      </c>
      <c r="N24" s="147"/>
      <c r="O24" s="249">
        <f ca="1">IF(AND(ParBAL2&lt;&gt;"",ParBAL2=P24,ParBAL1="4.4"),1,0)</f>
        <v>0</v>
      </c>
      <c r="P24" s="279" t="s">
        <v>106</v>
      </c>
      <c r="Q24" s="149" t="s">
        <v>481</v>
      </c>
      <c r="R24" s="149"/>
      <c r="S24" s="149"/>
      <c r="T24" s="149"/>
      <c r="U24" s="150"/>
      <c r="V24" s="150"/>
      <c r="W24" s="150"/>
      <c r="X24" s="150"/>
      <c r="Y24" s="151"/>
      <c r="Z24" s="143"/>
      <c r="AA24" s="144"/>
      <c r="AB24" s="143"/>
      <c r="AC24" s="145"/>
      <c r="AD24" s="146"/>
      <c r="AE24" s="276" t="s">
        <v>462</v>
      </c>
      <c r="AF24" s="152" t="s">
        <v>401</v>
      </c>
      <c r="AG24" s="147"/>
      <c r="AH24" s="636"/>
      <c r="AI24" s="645"/>
      <c r="AJ24" s="269"/>
      <c r="AK24" s="626"/>
      <c r="AL24" s="147"/>
      <c r="AM24" s="655"/>
      <c r="AN24" s="347"/>
      <c r="AO24" s="860"/>
      <c r="AP24" s="325"/>
      <c r="AQ24" s="325"/>
      <c r="AR24" s="325"/>
      <c r="AS24" s="348"/>
      <c r="AT24" s="149"/>
      <c r="AU24" s="150"/>
      <c r="AV24" s="150"/>
      <c r="AW24" s="150"/>
      <c r="AX24" s="151"/>
    </row>
    <row r="25" spans="1:50" x14ac:dyDescent="0.2">
      <c r="A25" s="295"/>
      <c r="B25" s="340"/>
      <c r="C25" s="341"/>
      <c r="D25" s="326"/>
      <c r="E25" s="46"/>
      <c r="F25" s="46"/>
      <c r="G25" s="147"/>
      <c r="H25" s="147"/>
      <c r="I25" s="148"/>
      <c r="J25" s="147"/>
      <c r="K25" s="148"/>
      <c r="L25" s="147"/>
      <c r="M25" s="56"/>
      <c r="N25" s="147"/>
      <c r="O25" s="59"/>
      <c r="P25" s="279"/>
      <c r="Q25" s="160"/>
      <c r="R25" s="149"/>
      <c r="S25" s="149"/>
      <c r="T25" s="149"/>
      <c r="U25" s="150"/>
      <c r="V25" s="150"/>
      <c r="W25" s="150"/>
      <c r="X25" s="150"/>
      <c r="Y25" s="151"/>
      <c r="Z25" s="143"/>
      <c r="AA25" s="144"/>
      <c r="AB25" s="143"/>
      <c r="AC25" s="145"/>
      <c r="AD25" s="146"/>
      <c r="AE25" s="276"/>
      <c r="AF25" s="152"/>
      <c r="AG25" s="147"/>
      <c r="AH25" s="636"/>
      <c r="AI25" s="645"/>
      <c r="AJ25" s="269"/>
      <c r="AK25" s="626"/>
      <c r="AL25" s="147"/>
      <c r="AM25" s="636"/>
      <c r="AN25" s="683"/>
      <c r="AO25" s="685"/>
      <c r="AP25" s="684"/>
      <c r="AQ25" s="684"/>
      <c r="AR25" s="684"/>
      <c r="AS25" s="149"/>
      <c r="AT25" s="155"/>
      <c r="AU25" s="157"/>
      <c r="AV25" s="157"/>
      <c r="AW25" s="157"/>
      <c r="AX25" s="151"/>
    </row>
    <row r="26" spans="1:50" x14ac:dyDescent="0.2">
      <c r="A26" s="363" t="s">
        <v>339</v>
      </c>
      <c r="B26" s="364"/>
      <c r="C26" s="365"/>
      <c r="D26" s="366"/>
      <c r="E26" s="367"/>
      <c r="F26" s="367"/>
      <c r="G26" s="368"/>
      <c r="H26" s="368"/>
      <c r="I26" s="369"/>
      <c r="J26" s="368"/>
      <c r="K26" s="369"/>
      <c r="L26" s="368"/>
      <c r="M26" s="370"/>
      <c r="N26" s="368"/>
      <c r="O26" s="371"/>
      <c r="P26" s="372"/>
      <c r="Q26" s="373"/>
      <c r="R26" s="374"/>
      <c r="S26" s="374"/>
      <c r="T26" s="374"/>
      <c r="U26" s="375"/>
      <c r="V26" s="375"/>
      <c r="W26" s="375"/>
      <c r="X26" s="375"/>
      <c r="Y26" s="376"/>
      <c r="Z26" s="377"/>
      <c r="AA26" s="378"/>
      <c r="AB26" s="377"/>
      <c r="AC26" s="379"/>
      <c r="AD26" s="380"/>
      <c r="AE26" s="381"/>
      <c r="AF26" s="382"/>
      <c r="AG26" s="368"/>
      <c r="AH26" s="637"/>
      <c r="AI26" s="646"/>
      <c r="AJ26" s="383"/>
      <c r="AK26" s="627"/>
      <c r="AL26" s="368"/>
      <c r="AM26" s="637"/>
      <c r="AN26" s="345"/>
      <c r="AO26" s="686"/>
      <c r="AP26" s="346"/>
      <c r="AQ26" s="346"/>
      <c r="AR26" s="346"/>
      <c r="AS26" s="346"/>
      <c r="AT26" s="336"/>
      <c r="AU26" s="337"/>
      <c r="AV26" s="337"/>
      <c r="AW26" s="337"/>
      <c r="AX26" s="335"/>
    </row>
    <row r="27" spans="1:50" x14ac:dyDescent="0.2">
      <c r="A27" s="584"/>
      <c r="B27" s="585"/>
      <c r="C27" s="586"/>
      <c r="D27" s="587"/>
      <c r="E27" s="588"/>
      <c r="F27" s="588"/>
      <c r="G27" s="589"/>
      <c r="H27" s="589"/>
      <c r="I27" s="590"/>
      <c r="J27" s="589"/>
      <c r="K27" s="590"/>
      <c r="L27" s="589"/>
      <c r="M27" s="591"/>
      <c r="N27" s="589"/>
      <c r="O27" s="592"/>
      <c r="P27" s="593"/>
      <c r="Q27" s="594"/>
      <c r="R27" s="595"/>
      <c r="S27" s="595"/>
      <c r="T27" s="595"/>
      <c r="U27" s="596"/>
      <c r="V27" s="596"/>
      <c r="W27" s="596"/>
      <c r="X27" s="596"/>
      <c r="Y27" s="597"/>
      <c r="Z27" s="598"/>
      <c r="AA27" s="599"/>
      <c r="AB27" s="598"/>
      <c r="AC27" s="600"/>
      <c r="AD27" s="601"/>
      <c r="AE27" s="602"/>
      <c r="AF27" s="603"/>
      <c r="AG27" s="589"/>
      <c r="AH27" s="638"/>
      <c r="AI27" s="647"/>
      <c r="AJ27" s="604"/>
      <c r="AK27" s="628"/>
      <c r="AL27" s="589"/>
      <c r="AM27" s="657"/>
      <c r="AN27" s="605"/>
      <c r="AO27" s="858"/>
      <c r="AP27" s="606"/>
      <c r="AQ27" s="606"/>
      <c r="AR27" s="606"/>
      <c r="AS27" s="595"/>
      <c r="AT27" s="606"/>
      <c r="AU27" s="607"/>
      <c r="AV27" s="607"/>
      <c r="AW27" s="607"/>
      <c r="AX27" s="597"/>
    </row>
    <row r="28" spans="1:50" x14ac:dyDescent="0.2">
      <c r="A28" s="393" t="s">
        <v>292</v>
      </c>
      <c r="B28" s="394"/>
      <c r="C28" s="395"/>
      <c r="D28" s="396"/>
      <c r="E28" s="397"/>
      <c r="F28" s="397"/>
      <c r="G28" s="398"/>
      <c r="H28" s="398"/>
      <c r="I28" s="399"/>
      <c r="J28" s="398"/>
      <c r="K28" s="399"/>
      <c r="L28" s="398"/>
      <c r="M28" s="400"/>
      <c r="N28" s="398"/>
      <c r="O28" s="401"/>
      <c r="P28" s="402"/>
      <c r="Q28" s="403"/>
      <c r="R28" s="404"/>
      <c r="S28" s="404"/>
      <c r="T28" s="404"/>
      <c r="U28" s="405"/>
      <c r="V28" s="405"/>
      <c r="W28" s="405"/>
      <c r="X28" s="405"/>
      <c r="Y28" s="406"/>
      <c r="Z28" s="407"/>
      <c r="AA28" s="408"/>
      <c r="AB28" s="407"/>
      <c r="AC28" s="409"/>
      <c r="AD28" s="410"/>
      <c r="AE28" s="411"/>
      <c r="AF28" s="412"/>
      <c r="AG28" s="398"/>
      <c r="AH28" s="639"/>
      <c r="AI28" s="648"/>
      <c r="AJ28" s="413"/>
      <c r="AK28" s="629"/>
      <c r="AL28" s="398"/>
      <c r="AM28" s="658"/>
      <c r="AN28" s="332"/>
      <c r="AO28" s="859"/>
      <c r="AP28" s="333"/>
      <c r="AQ28" s="333"/>
      <c r="AR28" s="333"/>
      <c r="AS28" s="327"/>
      <c r="AT28" s="330"/>
      <c r="AU28" s="331"/>
      <c r="AV28" s="331"/>
      <c r="AW28" s="331"/>
      <c r="AX28" s="328"/>
    </row>
    <row r="29" spans="1:50" x14ac:dyDescent="0.2">
      <c r="A29" s="295"/>
      <c r="B29" s="339">
        <f t="shared" ref="B29" ca="1" si="39">IF(AND(SUM(D29:K29,L29:M29)=COUNT(D29:K29,L29:M29),COUNT(D29:K29,L29:M29)&gt;0),ROW(B29),0)</f>
        <v>0</v>
      </c>
      <c r="C29" s="249">
        <f t="shared" ref="C29" ca="1" si="40">IF(AND(SUM(D29:K29,N29:O29)=COUNT(D29:K29,N29:O29),COUNT(D29:K29,N29:O29)&gt;0),ROW(B29),0)</f>
        <v>0</v>
      </c>
      <c r="D29" s="246">
        <f t="shared" ref="D29" ca="1" si="41">IF(AND(OR($Z29="",INGVAN="",$Z29&lt;=INGVAN),OR($Z29="",INGTOT="",$Z29&lt;=INGTOT),OR($AA29="",INGVAN="",$AA29&gt;=INGVAN),OR($AA29="",INGTOT="",$AA29&gt;=INGTOT)),1,0)</f>
        <v>1</v>
      </c>
      <c r="E29" s="247">
        <f t="shared" ref="E29" ca="1" si="42">IF(AND(OR($AB29="",Tdatum&gt;=$AB29,AND(AB29&lt;&gt;"",ISNUMBER(FIND("j",LOWER(AD29))))),OR($AC29="",Tdatum&lt;=$AC29)),1,0)</f>
        <v>1</v>
      </c>
      <c r="F29" s="247">
        <f t="shared" ref="F29" ca="1" si="43">IF(AND(OR($S29="",MW&gt;=$S29),OR($T29="",$T29&gt;MW)),1,0)</f>
        <v>1</v>
      </c>
      <c r="G29" s="147"/>
      <c r="H29" s="147"/>
      <c r="I29" s="148"/>
      <c r="J29" s="147"/>
      <c r="K29" s="148"/>
      <c r="L29" s="147"/>
      <c r="M29" s="248">
        <f ca="1">IF(AND(ParBAL1&lt;&gt;"",ParBAL1=P29,ParBAL2="4.4"),1,0)</f>
        <v>0</v>
      </c>
      <c r="N29" s="147"/>
      <c r="O29" s="249">
        <f ca="1">IF(AND(ParBAL2&lt;&gt;"",ParBAL2=P29,ParBAL1="4.4"),1,0)</f>
        <v>0</v>
      </c>
      <c r="P29" s="279" t="s">
        <v>105</v>
      </c>
      <c r="Q29" s="149" t="s">
        <v>482</v>
      </c>
      <c r="R29" s="149"/>
      <c r="S29" s="149"/>
      <c r="T29" s="149"/>
      <c r="U29" s="150"/>
      <c r="V29" s="150"/>
      <c r="W29" s="150"/>
      <c r="X29" s="150"/>
      <c r="Y29" s="151"/>
      <c r="Z29" s="143"/>
      <c r="AA29" s="144"/>
      <c r="AB29" s="143"/>
      <c r="AC29" s="145"/>
      <c r="AD29" s="146"/>
      <c r="AE29" s="276" t="s">
        <v>462</v>
      </c>
      <c r="AF29" s="152" t="s">
        <v>401</v>
      </c>
      <c r="AG29" s="147"/>
      <c r="AH29" s="636"/>
      <c r="AI29" s="645"/>
      <c r="AJ29" s="269"/>
      <c r="AK29" s="626"/>
      <c r="AL29" s="147"/>
      <c r="AM29" s="655"/>
      <c r="AN29" s="347"/>
      <c r="AO29" s="860"/>
      <c r="AP29" s="325"/>
      <c r="AQ29" s="325"/>
      <c r="AR29" s="325"/>
      <c r="AS29" s="348"/>
      <c r="AT29" s="149"/>
      <c r="AU29" s="150"/>
      <c r="AV29" s="150"/>
      <c r="AW29" s="150"/>
      <c r="AX29" s="151"/>
    </row>
    <row r="30" spans="1:50" x14ac:dyDescent="0.2">
      <c r="A30" s="295"/>
      <c r="B30" s="340"/>
      <c r="C30" s="341"/>
      <c r="D30" s="326"/>
      <c r="E30" s="46"/>
      <c r="F30" s="46"/>
      <c r="G30" s="147"/>
      <c r="H30" s="147"/>
      <c r="I30" s="148"/>
      <c r="J30" s="147"/>
      <c r="K30" s="148"/>
      <c r="L30" s="147"/>
      <c r="M30" s="56"/>
      <c r="N30" s="147"/>
      <c r="O30" s="59"/>
      <c r="P30" s="279"/>
      <c r="Q30" s="160"/>
      <c r="R30" s="149"/>
      <c r="S30" s="149"/>
      <c r="T30" s="149"/>
      <c r="U30" s="150"/>
      <c r="V30" s="150"/>
      <c r="W30" s="150"/>
      <c r="X30" s="150"/>
      <c r="Y30" s="151"/>
      <c r="Z30" s="143"/>
      <c r="AA30" s="144"/>
      <c r="AB30" s="143"/>
      <c r="AC30" s="145"/>
      <c r="AD30" s="146"/>
      <c r="AE30" s="276"/>
      <c r="AF30" s="152"/>
      <c r="AG30" s="147"/>
      <c r="AH30" s="636"/>
      <c r="AI30" s="645"/>
      <c r="AJ30" s="269"/>
      <c r="AK30" s="626"/>
      <c r="AL30" s="147"/>
      <c r="AM30" s="655"/>
      <c r="AN30" s="154"/>
      <c r="AO30" s="156"/>
      <c r="AP30" s="155"/>
      <c r="AQ30" s="155"/>
      <c r="AR30" s="155"/>
      <c r="AS30" s="149"/>
      <c r="AT30" s="155"/>
      <c r="AU30" s="157"/>
      <c r="AV30" s="157"/>
      <c r="AW30" s="157"/>
      <c r="AX30" s="151"/>
    </row>
    <row r="31" spans="1:50" x14ac:dyDescent="0.2">
      <c r="A31" s="363" t="s">
        <v>340</v>
      </c>
      <c r="B31" s="364"/>
      <c r="C31" s="365"/>
      <c r="D31" s="366"/>
      <c r="E31" s="367"/>
      <c r="F31" s="367"/>
      <c r="G31" s="368"/>
      <c r="H31" s="368"/>
      <c r="I31" s="369"/>
      <c r="J31" s="368"/>
      <c r="K31" s="369"/>
      <c r="L31" s="368"/>
      <c r="M31" s="370"/>
      <c r="N31" s="368"/>
      <c r="O31" s="371"/>
      <c r="P31" s="372"/>
      <c r="Q31" s="373"/>
      <c r="R31" s="374"/>
      <c r="S31" s="374"/>
      <c r="T31" s="374"/>
      <c r="U31" s="375"/>
      <c r="V31" s="375"/>
      <c r="W31" s="375"/>
      <c r="X31" s="375"/>
      <c r="Y31" s="376"/>
      <c r="Z31" s="377"/>
      <c r="AA31" s="378"/>
      <c r="AB31" s="377"/>
      <c r="AC31" s="379"/>
      <c r="AD31" s="380"/>
      <c r="AE31" s="381"/>
      <c r="AF31" s="382"/>
      <c r="AG31" s="368"/>
      <c r="AH31" s="637"/>
      <c r="AI31" s="646"/>
      <c r="AJ31" s="383"/>
      <c r="AK31" s="627"/>
      <c r="AL31" s="368"/>
      <c r="AM31" s="656"/>
      <c r="AN31" s="345"/>
      <c r="AO31" s="686"/>
      <c r="AP31" s="346"/>
      <c r="AQ31" s="346"/>
      <c r="AR31" s="346"/>
      <c r="AS31" s="346"/>
      <c r="AT31" s="336"/>
      <c r="AU31" s="337"/>
      <c r="AV31" s="337"/>
      <c r="AW31" s="337"/>
      <c r="AX31" s="335"/>
    </row>
    <row r="32" spans="1:50" x14ac:dyDescent="0.2">
      <c r="A32" s="584"/>
      <c r="B32" s="585"/>
      <c r="C32" s="586"/>
      <c r="D32" s="587"/>
      <c r="E32" s="588"/>
      <c r="F32" s="588"/>
      <c r="G32" s="589"/>
      <c r="H32" s="589"/>
      <c r="I32" s="590"/>
      <c r="J32" s="589"/>
      <c r="K32" s="590"/>
      <c r="L32" s="589"/>
      <c r="M32" s="591"/>
      <c r="N32" s="589"/>
      <c r="O32" s="592"/>
      <c r="P32" s="593"/>
      <c r="Q32" s="594"/>
      <c r="R32" s="595"/>
      <c r="S32" s="595"/>
      <c r="T32" s="595"/>
      <c r="U32" s="596"/>
      <c r="V32" s="596"/>
      <c r="W32" s="596"/>
      <c r="X32" s="596"/>
      <c r="Y32" s="597"/>
      <c r="Z32" s="598"/>
      <c r="AA32" s="599"/>
      <c r="AB32" s="598"/>
      <c r="AC32" s="600"/>
      <c r="AD32" s="601"/>
      <c r="AE32" s="602"/>
      <c r="AF32" s="603"/>
      <c r="AG32" s="589"/>
      <c r="AH32" s="638"/>
      <c r="AI32" s="647"/>
      <c r="AJ32" s="604"/>
      <c r="AK32" s="628"/>
      <c r="AL32" s="589"/>
      <c r="AM32" s="657"/>
      <c r="AN32" s="605"/>
      <c r="AO32" s="858"/>
      <c r="AP32" s="606"/>
      <c r="AQ32" s="606"/>
      <c r="AR32" s="606"/>
      <c r="AS32" s="595"/>
      <c r="AT32" s="606"/>
      <c r="AU32" s="607"/>
      <c r="AV32" s="607"/>
      <c r="AW32" s="607"/>
      <c r="AX32" s="597"/>
    </row>
    <row r="33" spans="1:50" x14ac:dyDescent="0.2">
      <c r="A33" s="393" t="s">
        <v>291</v>
      </c>
      <c r="B33" s="394"/>
      <c r="C33" s="395"/>
      <c r="D33" s="396"/>
      <c r="E33" s="397"/>
      <c r="F33" s="397"/>
      <c r="G33" s="398"/>
      <c r="H33" s="398"/>
      <c r="I33" s="399"/>
      <c r="J33" s="398"/>
      <c r="K33" s="399"/>
      <c r="L33" s="398"/>
      <c r="M33" s="400"/>
      <c r="N33" s="398"/>
      <c r="O33" s="401"/>
      <c r="P33" s="402"/>
      <c r="Q33" s="403"/>
      <c r="R33" s="404"/>
      <c r="S33" s="404"/>
      <c r="T33" s="404"/>
      <c r="U33" s="405"/>
      <c r="V33" s="405"/>
      <c r="W33" s="405"/>
      <c r="X33" s="405"/>
      <c r="Y33" s="406"/>
      <c r="Z33" s="407"/>
      <c r="AA33" s="408"/>
      <c r="AB33" s="407"/>
      <c r="AC33" s="409"/>
      <c r="AD33" s="410"/>
      <c r="AE33" s="411"/>
      <c r="AF33" s="412"/>
      <c r="AG33" s="398"/>
      <c r="AH33" s="639"/>
      <c r="AI33" s="648"/>
      <c r="AJ33" s="413"/>
      <c r="AK33" s="629"/>
      <c r="AL33" s="398"/>
      <c r="AM33" s="658"/>
      <c r="AN33" s="332"/>
      <c r="AO33" s="859"/>
      <c r="AP33" s="333"/>
      <c r="AQ33" s="333"/>
      <c r="AR33" s="333"/>
      <c r="AS33" s="327"/>
      <c r="AT33" s="330"/>
      <c r="AU33" s="331"/>
      <c r="AV33" s="331"/>
      <c r="AW33" s="331"/>
      <c r="AX33" s="328"/>
    </row>
    <row r="34" spans="1:50" x14ac:dyDescent="0.2">
      <c r="A34" s="295"/>
      <c r="B34" s="340"/>
      <c r="C34" s="341"/>
      <c r="D34" s="326"/>
      <c r="E34" s="46"/>
      <c r="F34" s="46"/>
      <c r="G34" s="147"/>
      <c r="H34" s="147"/>
      <c r="I34" s="148"/>
      <c r="J34" s="147"/>
      <c r="K34" s="148"/>
      <c r="L34" s="147"/>
      <c r="M34" s="56"/>
      <c r="N34" s="147"/>
      <c r="O34" s="59"/>
      <c r="P34" s="279"/>
      <c r="Q34" s="160"/>
      <c r="R34" s="149"/>
      <c r="S34" s="149"/>
      <c r="T34" s="149"/>
      <c r="U34" s="150"/>
      <c r="V34" s="150"/>
      <c r="W34" s="150"/>
      <c r="X34" s="150"/>
      <c r="Y34" s="151"/>
      <c r="Z34" s="143"/>
      <c r="AA34" s="144"/>
      <c r="AB34" s="143"/>
      <c r="AC34" s="145"/>
      <c r="AD34" s="146"/>
      <c r="AE34" s="276"/>
      <c r="AF34" s="152"/>
      <c r="AG34" s="147"/>
      <c r="AH34" s="636"/>
      <c r="AI34" s="645"/>
      <c r="AJ34" s="269"/>
      <c r="AK34" s="626"/>
      <c r="AL34" s="147"/>
      <c r="AM34" s="655"/>
      <c r="AN34" s="154"/>
      <c r="AO34" s="156"/>
      <c r="AP34" s="155"/>
      <c r="AQ34" s="155"/>
      <c r="AR34" s="155"/>
      <c r="AS34" s="149"/>
      <c r="AT34" s="155"/>
      <c r="AU34" s="157"/>
      <c r="AV34" s="157"/>
      <c r="AW34" s="157"/>
      <c r="AX34" s="151"/>
    </row>
    <row r="35" spans="1:50" x14ac:dyDescent="0.2">
      <c r="A35" s="363" t="s">
        <v>341</v>
      </c>
      <c r="B35" s="364"/>
      <c r="C35" s="365"/>
      <c r="D35" s="366"/>
      <c r="E35" s="367"/>
      <c r="F35" s="367"/>
      <c r="G35" s="368"/>
      <c r="H35" s="368"/>
      <c r="I35" s="369"/>
      <c r="J35" s="368"/>
      <c r="K35" s="369"/>
      <c r="L35" s="368"/>
      <c r="M35" s="370"/>
      <c r="N35" s="368"/>
      <c r="O35" s="371"/>
      <c r="P35" s="372"/>
      <c r="Q35" s="373"/>
      <c r="R35" s="374"/>
      <c r="S35" s="374"/>
      <c r="T35" s="374"/>
      <c r="U35" s="375"/>
      <c r="V35" s="375"/>
      <c r="W35" s="375"/>
      <c r="X35" s="375"/>
      <c r="Y35" s="376"/>
      <c r="Z35" s="377"/>
      <c r="AA35" s="378"/>
      <c r="AB35" s="377"/>
      <c r="AC35" s="379"/>
      <c r="AD35" s="380"/>
      <c r="AE35" s="381"/>
      <c r="AF35" s="382"/>
      <c r="AG35" s="368"/>
      <c r="AH35" s="637"/>
      <c r="AI35" s="646"/>
      <c r="AJ35" s="383"/>
      <c r="AK35" s="627"/>
      <c r="AL35" s="368"/>
      <c r="AM35" s="656"/>
      <c r="AN35" s="345"/>
      <c r="AO35" s="686"/>
      <c r="AP35" s="346"/>
      <c r="AQ35" s="346"/>
      <c r="AR35" s="346"/>
      <c r="AS35" s="346"/>
      <c r="AT35" s="336"/>
      <c r="AU35" s="337"/>
      <c r="AV35" s="337"/>
      <c r="AW35" s="337"/>
      <c r="AX35" s="335"/>
    </row>
    <row r="36" spans="1:50" x14ac:dyDescent="0.2">
      <c r="A36" s="584"/>
      <c r="B36" s="585"/>
      <c r="C36" s="586"/>
      <c r="D36" s="608"/>
      <c r="E36" s="589"/>
      <c r="F36" s="589"/>
      <c r="G36" s="589"/>
      <c r="H36" s="589"/>
      <c r="I36" s="590"/>
      <c r="J36" s="589"/>
      <c r="K36" s="590"/>
      <c r="L36" s="589"/>
      <c r="M36" s="590"/>
      <c r="N36" s="590"/>
      <c r="O36" s="590"/>
      <c r="P36" s="593"/>
      <c r="Q36" s="595"/>
      <c r="R36" s="595"/>
      <c r="S36" s="595"/>
      <c r="T36" s="595"/>
      <c r="U36" s="596"/>
      <c r="V36" s="596"/>
      <c r="W36" s="596"/>
      <c r="X36" s="596"/>
      <c r="Y36" s="597"/>
      <c r="Z36" s="598"/>
      <c r="AA36" s="599"/>
      <c r="AB36" s="598"/>
      <c r="AC36" s="600"/>
      <c r="AD36" s="601"/>
      <c r="AE36" s="602"/>
      <c r="AF36" s="603"/>
      <c r="AG36" s="589"/>
      <c r="AH36" s="638"/>
      <c r="AI36" s="647"/>
      <c r="AJ36" s="604"/>
      <c r="AK36" s="628"/>
      <c r="AL36" s="589"/>
      <c r="AM36" s="657"/>
      <c r="AN36" s="609"/>
      <c r="AO36" s="861"/>
      <c r="AP36" s="595"/>
      <c r="AQ36" s="595"/>
      <c r="AR36" s="595"/>
      <c r="AS36" s="595"/>
      <c r="AT36" s="595"/>
      <c r="AU36" s="596"/>
      <c r="AV36" s="596"/>
      <c r="AW36" s="596"/>
      <c r="AX36" s="597"/>
    </row>
    <row r="37" spans="1:50" x14ac:dyDescent="0.2">
      <c r="A37" s="393" t="s">
        <v>290</v>
      </c>
      <c r="B37" s="394"/>
      <c r="C37" s="395"/>
      <c r="D37" s="396"/>
      <c r="E37" s="397"/>
      <c r="F37" s="397"/>
      <c r="G37" s="398"/>
      <c r="H37" s="398"/>
      <c r="I37" s="399"/>
      <c r="J37" s="398"/>
      <c r="K37" s="399"/>
      <c r="L37" s="398"/>
      <c r="M37" s="400"/>
      <c r="N37" s="398"/>
      <c r="O37" s="401"/>
      <c r="P37" s="402"/>
      <c r="Q37" s="403"/>
      <c r="R37" s="404"/>
      <c r="S37" s="404"/>
      <c r="T37" s="404"/>
      <c r="U37" s="405"/>
      <c r="V37" s="405"/>
      <c r="W37" s="405"/>
      <c r="X37" s="405"/>
      <c r="Y37" s="406"/>
      <c r="Z37" s="407"/>
      <c r="AA37" s="408"/>
      <c r="AB37" s="407"/>
      <c r="AC37" s="409"/>
      <c r="AD37" s="410"/>
      <c r="AE37" s="411"/>
      <c r="AF37" s="412"/>
      <c r="AG37" s="398"/>
      <c r="AH37" s="639"/>
      <c r="AI37" s="648"/>
      <c r="AJ37" s="413"/>
      <c r="AK37" s="629"/>
      <c r="AL37" s="398"/>
      <c r="AM37" s="658"/>
      <c r="AN37" s="329"/>
      <c r="AO37" s="862"/>
      <c r="AP37" s="330"/>
      <c r="AQ37" s="330"/>
      <c r="AR37" s="330"/>
      <c r="AS37" s="327"/>
      <c r="AT37" s="330"/>
      <c r="AU37" s="331"/>
      <c r="AV37" s="331"/>
      <c r="AW37" s="331"/>
      <c r="AX37" s="328"/>
    </row>
    <row r="38" spans="1:50" x14ac:dyDescent="0.2">
      <c r="A38" s="334"/>
      <c r="B38" s="340"/>
      <c r="C38" s="341"/>
      <c r="D38" s="338"/>
      <c r="E38" s="46"/>
      <c r="F38" s="46"/>
      <c r="G38" s="147"/>
      <c r="H38" s="147"/>
      <c r="I38" s="148"/>
      <c r="J38" s="147"/>
      <c r="K38" s="148"/>
      <c r="L38" s="147"/>
      <c r="M38" s="56"/>
      <c r="N38" s="148"/>
      <c r="O38" s="56"/>
      <c r="P38" s="279"/>
      <c r="Q38" s="160"/>
      <c r="R38" s="149"/>
      <c r="S38" s="149"/>
      <c r="T38" s="149"/>
      <c r="U38" s="150"/>
      <c r="V38" s="150"/>
      <c r="W38" s="150"/>
      <c r="X38" s="150"/>
      <c r="Y38" s="151"/>
      <c r="Z38" s="143"/>
      <c r="AA38" s="144"/>
      <c r="AB38" s="143"/>
      <c r="AC38" s="145"/>
      <c r="AD38" s="146"/>
      <c r="AE38" s="276"/>
      <c r="AF38" s="152"/>
      <c r="AG38" s="147"/>
      <c r="AH38" s="636"/>
      <c r="AI38" s="645"/>
      <c r="AJ38" s="269"/>
      <c r="AK38" s="626"/>
      <c r="AL38" s="147"/>
      <c r="AM38" s="655"/>
      <c r="AN38" s="154"/>
      <c r="AO38" s="156"/>
      <c r="AP38" s="155"/>
      <c r="AQ38" s="155"/>
      <c r="AR38" s="155"/>
      <c r="AS38" s="149"/>
      <c r="AT38" s="155"/>
      <c r="AU38" s="157"/>
      <c r="AV38" s="157"/>
      <c r="AW38" s="157"/>
      <c r="AX38" s="151"/>
    </row>
    <row r="39" spans="1:50" ht="12" thickBot="1" x14ac:dyDescent="0.25">
      <c r="A39" s="297"/>
      <c r="B39" s="343"/>
      <c r="C39" s="344"/>
      <c r="D39" s="161"/>
      <c r="E39" s="161"/>
      <c r="F39" s="161"/>
      <c r="G39" s="161"/>
      <c r="H39" s="161"/>
      <c r="I39" s="162"/>
      <c r="J39" s="161"/>
      <c r="K39" s="162"/>
      <c r="L39" s="161"/>
      <c r="M39" s="162"/>
      <c r="N39" s="162"/>
      <c r="O39" s="162"/>
      <c r="P39" s="280"/>
      <c r="Q39" s="163"/>
      <c r="R39" s="163"/>
      <c r="S39" s="163"/>
      <c r="T39" s="163"/>
      <c r="U39" s="164"/>
      <c r="V39" s="164"/>
      <c r="W39" s="164"/>
      <c r="X39" s="164"/>
      <c r="Y39" s="165"/>
      <c r="Z39" s="166"/>
      <c r="AA39" s="167"/>
      <c r="AB39" s="166"/>
      <c r="AC39" s="168"/>
      <c r="AD39" s="169"/>
      <c r="AE39" s="278"/>
      <c r="AF39" s="171"/>
      <c r="AG39" s="161"/>
      <c r="AH39" s="640"/>
      <c r="AI39" s="649"/>
      <c r="AJ39" s="270"/>
      <c r="AK39" s="632"/>
      <c r="AL39" s="161"/>
      <c r="AM39" s="659"/>
      <c r="AN39" s="170"/>
      <c r="AO39" s="863"/>
      <c r="AP39" s="163"/>
      <c r="AQ39" s="163"/>
      <c r="AR39" s="163"/>
      <c r="AS39" s="163"/>
      <c r="AT39" s="163"/>
      <c r="AU39" s="164"/>
      <c r="AV39" s="164"/>
      <c r="AW39" s="164"/>
      <c r="AX39"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34"/>
  <sheetViews>
    <sheetView workbookViewId="0">
      <pane xSplit="20" ySplit="6" topLeftCell="AD10" activePane="bottomRight" state="frozen"/>
      <selection pane="topRight" activeCell="U1" sqref="U1"/>
      <selection pane="bottomLeft" activeCell="A7" sqref="A7"/>
      <selection pane="bottomRight" activeCell="AF19" sqref="AF19"/>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75" style="14"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5" width="7.125" style="3" customWidth="1"/>
    <col min="36" max="36" width="7.7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NH3</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IF($B$5=0,"",IF(INDEX(AK$1:AK$34,$B$5)="","",IF(AND(OR($AI5="",INGVAN="",$AI5&lt;=INGVAN),OR($AI5="",INGTOT="",$AI5&lt;=INGTOT)),1,0)))</f>
        <v/>
      </c>
      <c r="AL1" s="184" t="str">
        <f ca="1">IF($B$5=0,"",IF(INDEX(AK$1:AK$34,$B$5)="","",IF(AND(OR($AJ5="",INGVAN="",$AJ5&gt;=INGVAN),OR($AJ5="",INGTOT="",$AJ5&gt;=INGTOT)),1,0)))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126</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NH3</v>
      </c>
      <c r="AG3" s="129" t="s">
        <v>165</v>
      </c>
      <c r="AH3" s="633" t="s">
        <v>356</v>
      </c>
      <c r="AI3" s="642" t="s">
        <v>358</v>
      </c>
      <c r="AJ3" s="282" t="s">
        <v>359</v>
      </c>
      <c r="AK3" s="624" t="s">
        <v>251</v>
      </c>
      <c r="AL3" s="130" t="s">
        <v>183</v>
      </c>
      <c r="AM3" s="652" t="s">
        <v>209</v>
      </c>
      <c r="AN3" s="530" t="s">
        <v>534</v>
      </c>
      <c r="AO3" s="853" t="s">
        <v>231</v>
      </c>
      <c r="AP3" s="265" t="s">
        <v>242</v>
      </c>
      <c r="AQ3" s="265" t="s">
        <v>131</v>
      </c>
      <c r="AR3" s="127" t="s">
        <v>133</v>
      </c>
      <c r="AS3" s="265" t="s">
        <v>360</v>
      </c>
      <c r="AT3" s="93"/>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IF(AND(AF5="",AF6=""),"",CONCATENATE(ROUND((100-IF(AF6="",0,ABRAND2))/100*IF(AF5="",0,AF5*(21-AG4)/(21-AG5))+IF(AF5="",100,ABRAND2)/100*IF(AF6="",0,AF6*(21-AG4)/(21-AG6)),0)," ",IF(A2="","",A2)," bij ",AG4," vol% O₂"))</f>
        <v/>
      </c>
      <c r="AG4" s="208" t="str">
        <f ca="1">IF(AG5="",AG6,AG5)</f>
        <v/>
      </c>
      <c r="AH4" s="634" t="str">
        <f ca="1">IF($C$6=0,AH5,IF($B$5=0,AH6,IF($B$5&lt;$C$6,AH5,AH6)))</f>
        <v/>
      </c>
      <c r="AI4" s="643"/>
      <c r="AJ4" s="208"/>
      <c r="AK4" s="696"/>
      <c r="AL4" s="208"/>
      <c r="AM4" s="653" t="str">
        <f ca="1">IF($C$6=0,AM5,IF($B$5=0,AM6,IF($B$5&lt;$C$6,AM5,AM6)))</f>
        <v/>
      </c>
      <c r="AN4" s="209"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54" t="str">
        <f t="shared" ref="AO4:AS4" ca="1" si="7">IF($C$6=0,AO5,IF($B$5=0,AO6,IF($B$5&lt;$C$6,AO5,AO6)))</f>
        <v/>
      </c>
      <c r="AP4" s="210" t="str">
        <f t="shared" ca="1" si="7"/>
        <v/>
      </c>
      <c r="AQ4" s="210" t="str">
        <f t="shared" ca="1" si="7"/>
        <v/>
      </c>
      <c r="AR4" s="211" t="str">
        <f t="shared" ca="1" si="7"/>
        <v/>
      </c>
      <c r="AS4" s="210" t="str">
        <f t="shared" ca="1" si="7"/>
        <v/>
      </c>
      <c r="AT4" s="210"/>
      <c r="AU4" s="212"/>
      <c r="AV4" s="212"/>
      <c r="AW4" s="212"/>
      <c r="AX4" s="213" t="str">
        <f ca="1">AW2</f>
        <v/>
      </c>
    </row>
    <row r="5" spans="1:50" x14ac:dyDescent="0.2">
      <c r="A5" s="181" t="s">
        <v>29</v>
      </c>
      <c r="B5" s="192">
        <f ca="1">IF(Geldig,MAX(B8:B34),0)</f>
        <v>0</v>
      </c>
      <c r="C5" s="195"/>
      <c r="D5" s="192" t="str">
        <f t="shared" ref="D5:AF5" ca="1" si="8">IF($B$5=0,"",IF(INDEX(D$1:D$34,$B$5)="","",INDEX(D$1:D$34,$B$5)))</f>
        <v/>
      </c>
      <c r="E5" s="193" t="str">
        <f t="shared" ca="1" si="8"/>
        <v/>
      </c>
      <c r="F5" s="193" t="str">
        <f t="shared" ca="1" si="8"/>
        <v/>
      </c>
      <c r="G5" s="193" t="str">
        <f t="shared" ca="1" si="8"/>
        <v/>
      </c>
      <c r="H5" s="193" t="str">
        <f t="shared" ca="1" si="8"/>
        <v/>
      </c>
      <c r="I5" s="194" t="str">
        <f t="shared" ca="1" si="8"/>
        <v/>
      </c>
      <c r="J5" s="193" t="str">
        <f t="shared" ca="1" si="8"/>
        <v/>
      </c>
      <c r="K5" s="194" t="str">
        <f t="shared" ca="1" si="8"/>
        <v/>
      </c>
      <c r="L5" s="193" t="str">
        <f t="shared" ca="1" si="8"/>
        <v/>
      </c>
      <c r="M5" s="194" t="str">
        <f t="shared" ca="1" si="8"/>
        <v/>
      </c>
      <c r="N5" s="194" t="str">
        <f t="shared" ca="1" si="8"/>
        <v/>
      </c>
      <c r="O5" s="195" t="str">
        <f t="shared" ca="1" si="8"/>
        <v/>
      </c>
      <c r="P5" s="187" t="str">
        <f t="shared" ca="1" si="8"/>
        <v/>
      </c>
      <c r="Q5" s="214" t="str">
        <f t="shared" ca="1" si="8"/>
        <v/>
      </c>
      <c r="R5" s="214" t="str">
        <f t="shared" ca="1" si="8"/>
        <v/>
      </c>
      <c r="S5" s="214" t="str">
        <f t="shared" ca="1" si="8"/>
        <v/>
      </c>
      <c r="T5" s="214" t="str">
        <f t="shared" ca="1" si="8"/>
        <v/>
      </c>
      <c r="U5" s="214" t="str">
        <f t="shared" ca="1" si="8"/>
        <v/>
      </c>
      <c r="V5" s="215" t="str">
        <f t="shared" ca="1" si="8"/>
        <v/>
      </c>
      <c r="W5" s="215" t="str">
        <f t="shared" ca="1" si="8"/>
        <v/>
      </c>
      <c r="X5" s="215" t="str">
        <f t="shared" ca="1" si="8"/>
        <v/>
      </c>
      <c r="Y5" s="216" t="str">
        <f t="shared" ca="1" si="8"/>
        <v/>
      </c>
      <c r="Z5" s="217" t="str">
        <f t="shared" ca="1" si="8"/>
        <v/>
      </c>
      <c r="AA5" s="218" t="str">
        <f t="shared" ca="1" si="8"/>
        <v/>
      </c>
      <c r="AB5" s="217" t="str">
        <f t="shared" ca="1" si="8"/>
        <v/>
      </c>
      <c r="AC5" s="219" t="str">
        <f t="shared" ca="1" si="8"/>
        <v/>
      </c>
      <c r="AD5" s="220" t="str">
        <f t="shared" ca="1" si="8"/>
        <v/>
      </c>
      <c r="AE5" s="221" t="str">
        <f t="shared" ca="1" si="8"/>
        <v/>
      </c>
      <c r="AF5" s="222" t="str">
        <f t="shared" ca="1" si="8"/>
        <v/>
      </c>
      <c r="AG5" s="223" t="str">
        <f ca="1">IF($B$5=0,"",IF(INDEX(AG$1:AG$34,$B$5)="",O2BRAND1,INDEX(AG$1:AG$34,$B$5)))</f>
        <v/>
      </c>
      <c r="AH5" s="225" t="str">
        <f ca="1">IF($B$5=0,"",IF(INDEX(AH$1:AH$34,$B$5)="","",INDEX(AH$1:AH$34,$B$5)))</f>
        <v/>
      </c>
      <c r="AI5" s="661" t="str">
        <f ca="1">IF($B$5=0,"",IF(INDEX(AI$1:AI$34,$B$5)="","",INDEX(AI$1:AI$34,$B$5)))</f>
        <v/>
      </c>
      <c r="AJ5" s="218" t="str">
        <f ca="1">IF($B$5=0,"",IF(INDEX(AJ$1:AJ$34,$B$5)="","",INDEX(AJ$1:AJ$34,$B$5)))</f>
        <v/>
      </c>
      <c r="AK5" s="651" t="str">
        <f ca="1">IF($B$5=0,"",IF(INDEX(AK$1:AK$34,$B$5)="","",IF(AND(OR($AI5="",INGVAN="",$AI5&lt;=INGVAN),OR($AI5="",INGTOT="",$AI5&lt;=INGTOT),OR($AJ5="",INGVAN="",$AJ5&gt;=INGVAN),OR($AJ5="",INGTOT="",$AJ5&gt;=INGTOT)),INDEX(AK$1:AK$34,$B$5),"")))</f>
        <v/>
      </c>
      <c r="AL5" s="223" t="str">
        <f ca="1">IF($B$5=0,"",IF(INDEX(AL$1:AL$34,$B$5)="","",IF(AND(OR($AI5="",INGVAN="",$AI5&lt;=INGVAN),OR($AI5="",INGTOT="",$AI5&lt;=INGTOT),OR($AJ5="",INGVAN="",$AJ5&gt;=INGVAN),OR($AJ5="",INGTOT="",$AJ5&gt;=INGTOT)),INDEX(AL$1:AL$34,$B$5),"")))</f>
        <v/>
      </c>
      <c r="AM5" s="224" t="str">
        <f ca="1">IF($B$5=0,"",IF(INDEX(AM$1:AM$34,$B$5)="","",IF(AND(OR($AI5="",INGVAN="",$AI5&lt;=INGVAN),OR($AI5="",INGTOT="",$AI5&lt;=INGTOT),OR($AJ5="",INGVAN="",$AJ5&gt;=INGVAN),OR($AJ5="",INGTOT="",$AJ5&gt;=INGTOT)),INDEX(AM$1:AM$34,$B$5),"")))</f>
        <v/>
      </c>
      <c r="AN5" s="226"/>
      <c r="AO5" s="855" t="str">
        <f t="shared" ref="AO5:AW5" ca="1" si="9">IF($B$5=0,"",IF(INDEX(AO$1:AO$34,$B$5)="","",INDEX(AO$1:AO$34,$B$5)))</f>
        <v/>
      </c>
      <c r="AP5" s="227" t="str">
        <f t="shared" ca="1" si="9"/>
        <v/>
      </c>
      <c r="AQ5" s="227" t="str">
        <f t="shared" ca="1" si="9"/>
        <v/>
      </c>
      <c r="AR5" s="227" t="str">
        <f t="shared" ca="1" si="9"/>
        <v/>
      </c>
      <c r="AS5" s="227" t="str">
        <f t="shared" ca="1" si="9"/>
        <v/>
      </c>
      <c r="AT5" s="227"/>
      <c r="AU5" s="227" t="str">
        <f t="shared" ca="1" si="9"/>
        <v/>
      </c>
      <c r="AV5" s="227" t="str">
        <f t="shared" ca="1" si="9"/>
        <v/>
      </c>
      <c r="AW5" s="227" t="str">
        <f t="shared" ca="1" si="9"/>
        <v/>
      </c>
      <c r="AX5" s="228"/>
    </row>
    <row r="6" spans="1:50" ht="12" thickBot="1" x14ac:dyDescent="0.25">
      <c r="A6" s="182" t="s">
        <v>30</v>
      </c>
      <c r="B6" s="190"/>
      <c r="C6" s="191">
        <f ca="1">MAX(C8:C34)</f>
        <v>0</v>
      </c>
      <c r="D6" s="196" t="str">
        <f t="shared" ref="D6:AF6" ca="1" si="10">IF($C$6=0,"",IF(INDEX(D$1:D$34,$C$6)="","",INDEX(D$1:D$34,$C$6)))</f>
        <v/>
      </c>
      <c r="E6" s="196" t="str">
        <f t="shared" ca="1" si="10"/>
        <v/>
      </c>
      <c r="F6" s="196" t="str">
        <f t="shared" ca="1" si="10"/>
        <v/>
      </c>
      <c r="G6" s="196" t="str">
        <f t="shared" ca="1" si="10"/>
        <v/>
      </c>
      <c r="H6" s="196" t="str">
        <f t="shared" ca="1" si="10"/>
        <v/>
      </c>
      <c r="I6" s="197" t="str">
        <f t="shared" ca="1" si="10"/>
        <v/>
      </c>
      <c r="J6" s="196" t="str">
        <f t="shared" ca="1" si="10"/>
        <v/>
      </c>
      <c r="K6" s="197" t="str">
        <f t="shared" ca="1" si="10"/>
        <v/>
      </c>
      <c r="L6" s="196" t="str">
        <f t="shared" ca="1" si="10"/>
        <v/>
      </c>
      <c r="M6" s="197" t="str">
        <f t="shared" ca="1" si="10"/>
        <v/>
      </c>
      <c r="N6" s="197" t="str">
        <f t="shared" ca="1" si="10"/>
        <v/>
      </c>
      <c r="O6" s="197" t="str">
        <f t="shared" ca="1" si="10"/>
        <v/>
      </c>
      <c r="P6" s="229" t="str">
        <f t="shared" ca="1" si="10"/>
        <v/>
      </c>
      <c r="Q6" s="230" t="str">
        <f t="shared" ca="1" si="10"/>
        <v/>
      </c>
      <c r="R6" s="230" t="str">
        <f t="shared" ca="1" si="10"/>
        <v/>
      </c>
      <c r="S6" s="230" t="str">
        <f t="shared" ca="1" si="10"/>
        <v/>
      </c>
      <c r="T6" s="230" t="str">
        <f t="shared" ca="1" si="10"/>
        <v/>
      </c>
      <c r="U6" s="230" t="str">
        <f t="shared" ca="1" si="10"/>
        <v/>
      </c>
      <c r="V6" s="231" t="str">
        <f t="shared" ca="1" si="10"/>
        <v/>
      </c>
      <c r="W6" s="231" t="str">
        <f t="shared" ca="1" si="10"/>
        <v/>
      </c>
      <c r="X6" s="231" t="str">
        <f t="shared" ca="1" si="10"/>
        <v/>
      </c>
      <c r="Y6" s="232" t="str">
        <f t="shared" ca="1" si="10"/>
        <v/>
      </c>
      <c r="Z6" s="233" t="str">
        <f t="shared" ca="1" si="10"/>
        <v/>
      </c>
      <c r="AA6" s="234" t="str">
        <f t="shared" ca="1" si="10"/>
        <v/>
      </c>
      <c r="AB6" s="233" t="str">
        <f t="shared" ca="1" si="10"/>
        <v/>
      </c>
      <c r="AC6" s="235" t="str">
        <f t="shared" ca="1" si="10"/>
        <v/>
      </c>
      <c r="AD6" s="236" t="str">
        <f t="shared" ca="1" si="10"/>
        <v/>
      </c>
      <c r="AE6" s="237" t="str">
        <f t="shared" ca="1" si="10"/>
        <v/>
      </c>
      <c r="AF6" s="196" t="str">
        <f t="shared" ca="1" si="10"/>
        <v/>
      </c>
      <c r="AG6" s="238" t="str">
        <f ca="1">IF($C$6=0,"",IF(INDEX(AG$1:AG$34,$C$6)="",O2BRAND2,INDEX(AG$1:AG$34,$C$6)))</f>
        <v/>
      </c>
      <c r="AH6" s="239" t="str">
        <f ca="1">IF($C$6=0,"",IF(INDEX(AH$1:AH$34,$C$6)="","",INDEX(AH$1:AH$34,$C$6)))</f>
        <v/>
      </c>
      <c r="AI6" s="662" t="str">
        <f ca="1">IF($C$6=0,"",IF(INDEX(AI$1:AI$34,$C$6)="","",INDEX(AI$1:AI$34,$C$6)))</f>
        <v/>
      </c>
      <c r="AJ6" s="234" t="str">
        <f ca="1">IF($C$6=0,"",IF(INDEX(AJ$1:AJ$34,$C$6)="","",INDEX(AJ$1:AJ$34,$C$6)))</f>
        <v/>
      </c>
      <c r="AK6" s="672" t="str">
        <f ca="1">IF($C$6=0,"",IF(INDEX(AK$1:AK$34,$C$6)="","",IF(AND(OR($AI6="",INGVAN="",$AI6&lt;=INGVAN),OR($AI6="",INGTOT="",$AI6&lt;=INGTOT),OR($AJ6="",INGVAN="",$AJ6&gt;=INGVAN),OR($AJ6="",INGTOT="",$AJ6&gt;=INGTOT)),INDEX(AK$1:AK$34,$C$6),"")))</f>
        <v/>
      </c>
      <c r="AL6" s="238" t="str">
        <f ca="1">IF($C$6=0,"",IF(INDEX(AL$1:AL$34,$C$6)="","",IF(AND(OR($AI6="",INGVAN="",$AI6&lt;=INGVAN),OR($AI6="",INGTOT="",$AI6&lt;=INGTOT),OR($AJ6="",INGVAN="",$AJ6&gt;=INGVAN),OR($AJ6="",INGTOT="",$AJ6&gt;=INGTOT)),INDEX(AL$1:AL$34,$C$6),"")))</f>
        <v/>
      </c>
      <c r="AM6" s="673" t="str">
        <f ca="1">IF($C$6=0,"",IF(INDEX(AM$1:AM$34,$C$6)="","",IF(AND(OR($AI6="",INGVAN="",$AI6&lt;=INGVAN),OR($AI6="",INGTOT="",$AI6&lt;=INGTOT),OR($AJ6="",INGVAN="",$AJ6&gt;=INGVAN),OR($AJ6="",INGTOT="",$AJ6&gt;=INGTOT)),INDEX(AM$1:AM$34,$C$6),"")))</f>
        <v/>
      </c>
      <c r="AN6" s="240"/>
      <c r="AO6" s="856" t="str">
        <f t="shared" ref="AO6:AW6" ca="1" si="11">IF($C$6=0,"",IF(INDEX(AO$1:AO$34,$C$6)="","",INDEX(AO$1:AO$34,$C$6)))</f>
        <v/>
      </c>
      <c r="AP6" s="241" t="str">
        <f t="shared" ca="1" si="11"/>
        <v/>
      </c>
      <c r="AQ6" s="241" t="str">
        <f t="shared" ca="1" si="11"/>
        <v/>
      </c>
      <c r="AR6" s="241" t="str">
        <f t="shared" ca="1" si="11"/>
        <v/>
      </c>
      <c r="AS6" s="241" t="str">
        <f t="shared" ca="1" si="11"/>
        <v/>
      </c>
      <c r="AT6" s="241"/>
      <c r="AU6" s="241" t="str">
        <f t="shared" ca="1" si="11"/>
        <v/>
      </c>
      <c r="AV6" s="241" t="str">
        <f t="shared" ca="1" si="11"/>
        <v/>
      </c>
      <c r="AW6" s="241" t="str">
        <f t="shared" ca="1" si="11"/>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322"/>
      <c r="AO7" s="857" t="s">
        <v>243</v>
      </c>
      <c r="AP7" s="323" t="s">
        <v>363</v>
      </c>
      <c r="AQ7" s="323" t="s">
        <v>484</v>
      </c>
      <c r="AR7" s="323" t="s">
        <v>192</v>
      </c>
      <c r="AS7" s="323"/>
      <c r="AT7" s="323"/>
      <c r="AU7" s="321"/>
      <c r="AV7" s="321"/>
      <c r="AW7" s="321"/>
      <c r="AX7" s="319"/>
    </row>
    <row r="8" spans="1:50" x14ac:dyDescent="0.2">
      <c r="A8" s="295"/>
      <c r="B8" s="339">
        <f t="shared" ref="B8:B9" ca="1" si="12">IF(AND(SUM(D8:K8,L8:M8)=COUNT(D8:K8,L8:M8),COUNT(D8:K8,L8:M8)&gt;0),ROW(B8),0)</f>
        <v>0</v>
      </c>
      <c r="C8" s="249">
        <f t="shared" ref="C8:C9" ca="1" si="13">IF(AND(SUM(D8:K8,N8:O8)=COUNT(D8:K8,N8:O8),COUNT(D8:K8,N8:O8)&gt;0),ROW(B8),0)</f>
        <v>0</v>
      </c>
      <c r="D8" s="246">
        <f ca="1">IF(AND(OR($Z8="",INGVAN="",$Z8&lt;=INGVAN),OR($Z8="",INGTOT="",$Z8&lt;=INGTOT),OR($AA8="",INGVAN="",$AA8&gt;=INGVAN),OR($AA8="",INGTOT="",$AA8&gt;=INGTOT)),1,0)</f>
        <v>1</v>
      </c>
      <c r="E8" s="247">
        <f t="shared" ref="E8:E9" ca="1" si="14">IF(AND(OR($AB8="",Tdatum&gt;=$AB8,AND(AB8&lt;&gt;"",ISNUMBER(FIND("j",LOWER(AD8))))),OR($AC8="",Tdatum&lt;=$AC8)),1,0)</f>
        <v>1</v>
      </c>
      <c r="F8" s="247">
        <f t="shared" ref="F8:F14" ca="1" si="15">IF(AND(OR($S8="",MW&gt;=$S8),OR($T8="",$T8&gt;MW)),1,0)</f>
        <v>1</v>
      </c>
      <c r="G8" s="147">
        <f ca="1">IF(Afvalvernietiging,1,0)</f>
        <v>0</v>
      </c>
      <c r="H8" s="147"/>
      <c r="I8" s="147"/>
      <c r="J8" s="147"/>
      <c r="K8" s="148"/>
      <c r="L8" s="147">
        <f ca="1">IF(OR(TBRAND1=3,AND(G8=1,N8=0)),1,0)</f>
        <v>0</v>
      </c>
      <c r="M8" s="248">
        <f t="shared" ref="M8" ca="1" si="16">IF(AND(ParBAL1&lt;&gt;"",ParBAL1=P8),1,0)</f>
        <v>0</v>
      </c>
      <c r="N8" s="147">
        <f ca="1">IF(TBRAND2=3,1,0)</f>
        <v>0</v>
      </c>
      <c r="O8" s="249">
        <f t="shared" ref="O8" ca="1" si="17">IF(AND(ParBAL2&lt;&gt;"",ParBAL2=P8),1,0)</f>
        <v>0</v>
      </c>
      <c r="P8" s="279" t="s">
        <v>39</v>
      </c>
      <c r="Q8" s="149" t="s">
        <v>48</v>
      </c>
      <c r="R8" s="149" t="s">
        <v>265</v>
      </c>
      <c r="S8" s="149"/>
      <c r="T8" s="149"/>
      <c r="U8" s="150"/>
      <c r="V8" s="150"/>
      <c r="W8" s="150"/>
      <c r="X8" s="150"/>
      <c r="Y8" s="151"/>
      <c r="Z8" s="143"/>
      <c r="AA8" s="144"/>
      <c r="AB8" s="143"/>
      <c r="AC8" s="145"/>
      <c r="AD8" s="146"/>
      <c r="AE8" s="276" t="s">
        <v>121</v>
      </c>
      <c r="AF8" s="152" t="s">
        <v>372</v>
      </c>
      <c r="AG8" s="147"/>
      <c r="AH8" s="636" t="str">
        <f ca="1">IF(AND(INGTOT&lt;=IWTBAL,Tdatum&lt;=IWTWIbest),CONCATENATE(" geldt vanaf ",DAY(IWTWIbest),"-",MONTH(IWTWIbest),"-",YEAR(IWTWIbest)," (art 4.103c)"),"")</f>
        <v/>
      </c>
      <c r="AI8" s="645"/>
      <c r="AJ8" s="663">
        <v>43781</v>
      </c>
      <c r="AK8" s="626" t="s">
        <v>123</v>
      </c>
      <c r="AL8" s="147">
        <v>10</v>
      </c>
      <c r="AM8" s="655"/>
      <c r="AN8" s="324"/>
      <c r="AO8" s="349" t="str">
        <f>AO$7</f>
        <v xml:space="preserve">Er geldt een continue meetverplichting (art 4.79). </v>
      </c>
      <c r="AP8" s="325" t="str">
        <f t="shared" ref="AP8:AR9" si="18">AP$7</f>
        <v xml:space="preserve">De kwaliteitsborging van het continue meetsysteem vindt plaats volgen NEN-EN 14181 (art. 4.78). </v>
      </c>
      <c r="AQ8" s="325" t="str">
        <f t="shared" si="18"/>
        <v>De aangetoonde meetonzekerheid mag niet groter zijn dan 40% van de emissie-eis of 2 mg/Nm3 (art. 4.88).</v>
      </c>
      <c r="AR8" s="325" t="str">
        <f t="shared" si="18"/>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25"/>
      <c r="AT8" s="325"/>
      <c r="AU8" s="150"/>
      <c r="AV8" s="150"/>
      <c r="AW8" s="150"/>
      <c r="AX8" s="151"/>
    </row>
    <row r="9" spans="1:50" x14ac:dyDescent="0.2">
      <c r="A9" s="295"/>
      <c r="B9" s="339">
        <f t="shared" ca="1" si="12"/>
        <v>0</v>
      </c>
      <c r="C9" s="249">
        <f t="shared" ca="1" si="13"/>
        <v>0</v>
      </c>
      <c r="D9" s="246">
        <f ca="1">IF(AND(OR($Z9="",INGVAN="",$Z9&lt;=INGVAN),OR($Z9="",INGTOT="",$Z9&lt;=INGTOT),OR($AA9="",INGVAN="",$AA9&gt;=INGVAN),OR($AA9="",INGTOT="",$AA9&gt;=INGTOT)),1,0)</f>
        <v>1</v>
      </c>
      <c r="E9" s="247">
        <f t="shared" ca="1" si="14"/>
        <v>1</v>
      </c>
      <c r="F9" s="247">
        <f t="shared" ca="1" si="15"/>
        <v>1</v>
      </c>
      <c r="G9" s="147">
        <f ca="1">IF(EnergieUitAfval,1,0)</f>
        <v>0</v>
      </c>
      <c r="H9" s="147"/>
      <c r="I9" s="147"/>
      <c r="J9" s="147"/>
      <c r="K9" s="148"/>
      <c r="L9" s="147">
        <f ca="1">IF(TBRAND1=3,1,0)</f>
        <v>0</v>
      </c>
      <c r="M9" s="248">
        <f t="shared" ref="M9" ca="1" si="19">IF(AND(ParBAL1&lt;&gt;"",ParBAL1=P9),1,0)</f>
        <v>0</v>
      </c>
      <c r="N9" s="147">
        <f ca="1">IF(TBRAND2=3,1,0)</f>
        <v>0</v>
      </c>
      <c r="O9" s="249">
        <f t="shared" ref="O9" ca="1" si="20">IF(AND(ParBAL2&lt;&gt;"",ParBAL2=P9),1,0)</f>
        <v>0</v>
      </c>
      <c r="P9" s="279" t="s">
        <v>39</v>
      </c>
      <c r="Q9" s="149" t="s">
        <v>266</v>
      </c>
      <c r="R9" s="149" t="s">
        <v>46</v>
      </c>
      <c r="S9" s="149"/>
      <c r="T9" s="149"/>
      <c r="U9" s="150"/>
      <c r="V9" s="150"/>
      <c r="W9" s="150"/>
      <c r="X9" s="150"/>
      <c r="Y9" s="151"/>
      <c r="Z9" s="143"/>
      <c r="AA9" s="144"/>
      <c r="AB9" s="143"/>
      <c r="AC9" s="145"/>
      <c r="AD9" s="146"/>
      <c r="AE9" s="276" t="s">
        <v>121</v>
      </c>
      <c r="AF9" s="152" t="s">
        <v>372</v>
      </c>
      <c r="AG9" s="147"/>
      <c r="AH9" s="636" t="str">
        <f ca="1">IF(AND(INGTOT&lt;=IWTBAL,Tdatum&lt;=IWTWIbest),CONCATENATE(" geldt vanaf ",DAY(IWTWIbest),"-",MONTH(IWTWIbest),"-",YEAR(IWTWIbest)," (art 4.103c)"),"")</f>
        <v/>
      </c>
      <c r="AI9" s="645"/>
      <c r="AJ9" s="663">
        <v>43781</v>
      </c>
      <c r="AK9" s="626" t="s">
        <v>123</v>
      </c>
      <c r="AL9" s="147">
        <v>10</v>
      </c>
      <c r="AM9" s="655"/>
      <c r="AN9" s="324"/>
      <c r="AO9" s="349" t="str">
        <f t="shared" ref="AO9" si="21">AO$7</f>
        <v xml:space="preserve">Er geldt een continue meetverplichting (art 4.79). </v>
      </c>
      <c r="AP9" s="325" t="str">
        <f t="shared" si="18"/>
        <v xml:space="preserve">De kwaliteitsborging van het continue meetsysteem vindt plaats volgen NEN-EN 14181 (art. 4.78). </v>
      </c>
      <c r="AQ9" s="325" t="str">
        <f t="shared" si="18"/>
        <v>De aangetoonde meetonzekerheid mag niet groter zijn dan 40% van de emissie-eis of 2 mg/Nm3 (art. 4.88).</v>
      </c>
      <c r="AR9" s="325" t="s">
        <v>451</v>
      </c>
      <c r="AS9" s="325"/>
      <c r="AT9" s="325"/>
      <c r="AU9" s="157"/>
      <c r="AV9" s="157"/>
      <c r="AW9" s="157"/>
      <c r="AX9" s="158"/>
    </row>
    <row r="10" spans="1:50" x14ac:dyDescent="0.2">
      <c r="A10" s="295"/>
      <c r="B10" s="340"/>
      <c r="C10" s="341"/>
      <c r="D10" s="326"/>
      <c r="E10" s="46"/>
      <c r="F10" s="46"/>
      <c r="G10" s="147"/>
      <c r="H10" s="147"/>
      <c r="I10" s="148"/>
      <c r="J10" s="147"/>
      <c r="K10" s="148"/>
      <c r="L10" s="147"/>
      <c r="M10" s="56"/>
      <c r="N10" s="147"/>
      <c r="O10" s="59"/>
      <c r="P10" s="279"/>
      <c r="Q10" s="160"/>
      <c r="R10" s="149"/>
      <c r="S10" s="149"/>
      <c r="T10" s="149"/>
      <c r="U10" s="150"/>
      <c r="V10" s="150"/>
      <c r="W10" s="150"/>
      <c r="X10" s="150"/>
      <c r="Y10" s="151"/>
      <c r="Z10" s="143"/>
      <c r="AA10" s="144"/>
      <c r="AB10" s="143"/>
      <c r="AC10" s="145"/>
      <c r="AD10" s="146"/>
      <c r="AE10" s="276"/>
      <c r="AF10" s="152"/>
      <c r="AG10" s="147"/>
      <c r="AH10" s="636"/>
      <c r="AI10" s="645"/>
      <c r="AJ10" s="269"/>
      <c r="AK10" s="626"/>
      <c r="AL10" s="147"/>
      <c r="AM10" s="655"/>
      <c r="AN10" s="154"/>
      <c r="AO10" s="156"/>
      <c r="AP10" s="684"/>
      <c r="AQ10" s="155"/>
      <c r="AR10" s="155"/>
      <c r="AS10" s="149"/>
      <c r="AT10" s="149"/>
      <c r="AU10" s="157"/>
      <c r="AV10" s="157"/>
      <c r="AW10" s="157"/>
      <c r="AX10" s="151"/>
    </row>
    <row r="11" spans="1:50" x14ac:dyDescent="0.2">
      <c r="A11" s="363" t="s">
        <v>337</v>
      </c>
      <c r="B11" s="364"/>
      <c r="C11" s="365"/>
      <c r="D11" s="366"/>
      <c r="E11" s="367"/>
      <c r="F11" s="367"/>
      <c r="G11" s="368"/>
      <c r="H11" s="368"/>
      <c r="I11" s="369"/>
      <c r="J11" s="368"/>
      <c r="K11" s="369"/>
      <c r="L11" s="368"/>
      <c r="M11" s="370"/>
      <c r="N11" s="368"/>
      <c r="O11" s="371"/>
      <c r="P11" s="372"/>
      <c r="Q11" s="373"/>
      <c r="R11" s="374"/>
      <c r="S11" s="374"/>
      <c r="T11" s="374"/>
      <c r="U11" s="375"/>
      <c r="V11" s="375"/>
      <c r="W11" s="375"/>
      <c r="X11" s="375"/>
      <c r="Y11" s="376"/>
      <c r="Z11" s="377"/>
      <c r="AA11" s="378"/>
      <c r="AB11" s="377"/>
      <c r="AC11" s="379"/>
      <c r="AD11" s="380"/>
      <c r="AE11" s="381"/>
      <c r="AF11" s="382"/>
      <c r="AG11" s="368"/>
      <c r="AH11" s="637"/>
      <c r="AI11" s="646"/>
      <c r="AJ11" s="383"/>
      <c r="AK11" s="627"/>
      <c r="AL11" s="368"/>
      <c r="AM11" s="656"/>
      <c r="AN11" s="345"/>
      <c r="AO11" s="686" t="s">
        <v>243</v>
      </c>
      <c r="AP11" s="333" t="s">
        <v>363</v>
      </c>
      <c r="AQ11" s="346" t="s">
        <v>484</v>
      </c>
      <c r="AR11" s="346" t="s">
        <v>192</v>
      </c>
      <c r="AS11" s="346"/>
      <c r="AT11" s="346"/>
      <c r="AU11" s="337"/>
      <c r="AV11" s="337"/>
      <c r="AW11" s="337"/>
      <c r="AX11" s="335"/>
    </row>
    <row r="12" spans="1:50" x14ac:dyDescent="0.2">
      <c r="A12" s="584"/>
      <c r="B12" s="585"/>
      <c r="C12" s="586"/>
      <c r="D12" s="587"/>
      <c r="E12" s="588"/>
      <c r="F12" s="588"/>
      <c r="G12" s="589"/>
      <c r="H12" s="589"/>
      <c r="I12" s="590"/>
      <c r="J12" s="589"/>
      <c r="K12" s="590"/>
      <c r="L12" s="589"/>
      <c r="M12" s="591"/>
      <c r="N12" s="589"/>
      <c r="O12" s="592"/>
      <c r="P12" s="593"/>
      <c r="Q12" s="594"/>
      <c r="R12" s="595"/>
      <c r="S12" s="595"/>
      <c r="T12" s="595"/>
      <c r="U12" s="596"/>
      <c r="V12" s="596"/>
      <c r="W12" s="596"/>
      <c r="X12" s="596"/>
      <c r="Y12" s="597"/>
      <c r="Z12" s="598"/>
      <c r="AA12" s="599"/>
      <c r="AB12" s="598"/>
      <c r="AC12" s="600"/>
      <c r="AD12" s="601"/>
      <c r="AE12" s="602"/>
      <c r="AF12" s="603"/>
      <c r="AG12" s="589"/>
      <c r="AH12" s="638"/>
      <c r="AI12" s="647"/>
      <c r="AJ12" s="604"/>
      <c r="AK12" s="628"/>
      <c r="AL12" s="589"/>
      <c r="AM12" s="657"/>
      <c r="AN12" s="605"/>
      <c r="AO12" s="858"/>
      <c r="AP12" s="606"/>
      <c r="AQ12" s="606"/>
      <c r="AR12" s="606"/>
      <c r="AS12" s="595"/>
      <c r="AT12" s="595"/>
      <c r="AU12" s="607"/>
      <c r="AV12" s="607"/>
      <c r="AW12" s="607"/>
      <c r="AX12" s="597"/>
    </row>
    <row r="13" spans="1:50" x14ac:dyDescent="0.2">
      <c r="A13" s="393" t="s">
        <v>294</v>
      </c>
      <c r="B13" s="394"/>
      <c r="C13" s="395"/>
      <c r="D13" s="396"/>
      <c r="E13" s="397"/>
      <c r="F13" s="397"/>
      <c r="G13" s="398"/>
      <c r="H13" s="398"/>
      <c r="I13" s="399"/>
      <c r="J13" s="398"/>
      <c r="K13" s="399"/>
      <c r="L13" s="398"/>
      <c r="M13" s="400"/>
      <c r="N13" s="398"/>
      <c r="O13" s="401"/>
      <c r="P13" s="402"/>
      <c r="Q13" s="403"/>
      <c r="R13" s="404"/>
      <c r="S13" s="404"/>
      <c r="T13" s="404"/>
      <c r="U13" s="405"/>
      <c r="V13" s="405"/>
      <c r="W13" s="405"/>
      <c r="X13" s="405"/>
      <c r="Y13" s="406"/>
      <c r="Z13" s="407"/>
      <c r="AA13" s="408"/>
      <c r="AB13" s="407"/>
      <c r="AC13" s="409"/>
      <c r="AD13" s="410"/>
      <c r="AE13" s="411"/>
      <c r="AF13" s="412"/>
      <c r="AG13" s="398"/>
      <c r="AH13" s="639"/>
      <c r="AI13" s="648"/>
      <c r="AJ13" s="413"/>
      <c r="AK13" s="629"/>
      <c r="AL13" s="398"/>
      <c r="AM13" s="658"/>
      <c r="AN13" s="332"/>
      <c r="AO13" s="859" t="s">
        <v>426</v>
      </c>
      <c r="AP13" s="333" t="s">
        <v>485</v>
      </c>
      <c r="AQ13" s="333"/>
      <c r="AR13" s="333" t="s">
        <v>410</v>
      </c>
      <c r="AS13" s="333"/>
      <c r="AT13" s="333"/>
      <c r="AU13" s="331"/>
      <c r="AV13" s="331"/>
      <c r="AW13" s="331"/>
      <c r="AX13" s="328"/>
    </row>
    <row r="14" spans="1:50" x14ac:dyDescent="0.2">
      <c r="A14" s="295"/>
      <c r="B14" s="339">
        <f t="shared" ref="B14" ca="1" si="22">IF(AND(SUM(D14:K14,L14:M14)=COUNT(D14:K14,L14:M14),COUNT(D14:K14,L14:M14)&gt;0),ROW(B14),0)</f>
        <v>0</v>
      </c>
      <c r="C14" s="249">
        <f t="shared" ref="C14" ca="1" si="23">IF(AND(SUM(D14:K14,N14:O14)=COUNT(D14:K14,N14:O14),COUNT(D14:K14,N14:O14)&gt;0),ROW(B14),0)</f>
        <v>0</v>
      </c>
      <c r="D14" s="246">
        <f t="shared" ref="D14" ca="1" si="24">IF(AND(OR($Z14="",INGVAN="",$Z14&lt;=INGVAN),OR($Z14="",INGTOT="",$Z14&lt;=INGTOT),OR($AA14="",INGVAN="",$AA14&gt;=INGVAN),OR($AA14="",INGTOT="",$AA14&gt;=INGTOT)),1,0)</f>
        <v>1</v>
      </c>
      <c r="E14" s="247">
        <f t="shared" ref="E14" ca="1" si="25">IF(AND(OR($AB14="",Tdatum&gt;=$AB14,AND(AB14&lt;&gt;"",ISNUMBER(FIND("j",LOWER(AD14))))),OR($AC14="",Tdatum&lt;=$AC14)),1,0)</f>
        <v>1</v>
      </c>
      <c r="F14" s="247">
        <f t="shared" ca="1" si="15"/>
        <v>1</v>
      </c>
      <c r="G14" s="147"/>
      <c r="H14" s="147"/>
      <c r="I14" s="148"/>
      <c r="J14" s="147"/>
      <c r="K14" s="148"/>
      <c r="L14" s="147">
        <f ca="1">IF(BRAND1=19,1,0)</f>
        <v>0</v>
      </c>
      <c r="M14" s="248">
        <f ca="1">IF(AND(ParBAL1&lt;&gt;"",ParBAL1=P14,ParBAL2="4.4"),1,0)</f>
        <v>0</v>
      </c>
      <c r="N14" s="147">
        <f ca="1">IF(BRAND2=19,1,0)</f>
        <v>0</v>
      </c>
      <c r="O14" s="249">
        <f ca="1">IF(AND(ParBAL2&lt;&gt;"",ParBAL2=P14,ParBAL1="4.4"),1,0)</f>
        <v>0</v>
      </c>
      <c r="P14" s="279" t="s">
        <v>40</v>
      </c>
      <c r="Q14" s="149" t="s">
        <v>483</v>
      </c>
      <c r="R14" s="149"/>
      <c r="S14" s="149"/>
      <c r="T14" s="149"/>
      <c r="U14" s="150"/>
      <c r="V14" s="150"/>
      <c r="W14" s="150"/>
      <c r="X14" s="150"/>
      <c r="Y14" s="151"/>
      <c r="Z14" s="143"/>
      <c r="AA14" s="144"/>
      <c r="AB14" s="143"/>
      <c r="AC14" s="145"/>
      <c r="AD14" s="146"/>
      <c r="AE14" s="276" t="s">
        <v>409</v>
      </c>
      <c r="AF14" s="152" t="s">
        <v>372</v>
      </c>
      <c r="AG14" s="147"/>
      <c r="AH14" s="636"/>
      <c r="AI14" s="645"/>
      <c r="AJ14" s="269"/>
      <c r="AK14" s="626"/>
      <c r="AL14" s="147"/>
      <c r="AM14" s="655"/>
      <c r="AN14" s="347"/>
      <c r="AO14" s="860"/>
      <c r="AP14" s="325"/>
      <c r="AQ14" s="325"/>
      <c r="AR14" s="325"/>
      <c r="AS14" s="348"/>
      <c r="AT14" s="348"/>
      <c r="AU14" s="150"/>
      <c r="AV14" s="150"/>
      <c r="AW14" s="150"/>
      <c r="AX14" s="151"/>
    </row>
    <row r="15" spans="1:50" x14ac:dyDescent="0.2">
      <c r="A15" s="295"/>
      <c r="B15" s="340"/>
      <c r="C15" s="341"/>
      <c r="D15" s="326"/>
      <c r="E15" s="46"/>
      <c r="F15" s="46"/>
      <c r="G15" s="147"/>
      <c r="H15" s="147"/>
      <c r="I15" s="148"/>
      <c r="J15" s="147"/>
      <c r="K15" s="148"/>
      <c r="L15" s="147"/>
      <c r="M15" s="56"/>
      <c r="N15" s="147"/>
      <c r="O15" s="59"/>
      <c r="P15" s="279"/>
      <c r="Q15" s="160"/>
      <c r="R15" s="149"/>
      <c r="S15" s="149"/>
      <c r="T15" s="149"/>
      <c r="U15" s="150"/>
      <c r="V15" s="150"/>
      <c r="W15" s="150"/>
      <c r="X15" s="150"/>
      <c r="Y15" s="151"/>
      <c r="Z15" s="143"/>
      <c r="AA15" s="144"/>
      <c r="AB15" s="143"/>
      <c r="AC15" s="145"/>
      <c r="AD15" s="146"/>
      <c r="AE15" s="276"/>
      <c r="AF15" s="152"/>
      <c r="AG15" s="147"/>
      <c r="AH15" s="636"/>
      <c r="AI15" s="645"/>
      <c r="AJ15" s="269"/>
      <c r="AK15" s="626"/>
      <c r="AL15" s="147"/>
      <c r="AM15" s="655"/>
      <c r="AN15" s="683"/>
      <c r="AO15" s="685"/>
      <c r="AP15" s="684"/>
      <c r="AQ15" s="684"/>
      <c r="AR15" s="684"/>
      <c r="AS15" s="149"/>
      <c r="AT15" s="149"/>
      <c r="AU15" s="157"/>
      <c r="AV15" s="157"/>
      <c r="AW15" s="157"/>
      <c r="AX15" s="151"/>
    </row>
    <row r="16" spans="1:50" x14ac:dyDescent="0.2">
      <c r="A16" s="363" t="s">
        <v>338</v>
      </c>
      <c r="B16" s="364"/>
      <c r="C16" s="365"/>
      <c r="D16" s="366"/>
      <c r="E16" s="367"/>
      <c r="F16" s="367"/>
      <c r="G16" s="368"/>
      <c r="H16" s="368"/>
      <c r="I16" s="369"/>
      <c r="J16" s="368"/>
      <c r="K16" s="369"/>
      <c r="L16" s="368"/>
      <c r="M16" s="370"/>
      <c r="N16" s="368"/>
      <c r="O16" s="371"/>
      <c r="P16" s="372"/>
      <c r="Q16" s="373"/>
      <c r="R16" s="374"/>
      <c r="S16" s="374"/>
      <c r="T16" s="374"/>
      <c r="U16" s="375"/>
      <c r="V16" s="375"/>
      <c r="W16" s="375"/>
      <c r="X16" s="375"/>
      <c r="Y16" s="376"/>
      <c r="Z16" s="377"/>
      <c r="AA16" s="378"/>
      <c r="AB16" s="377"/>
      <c r="AC16" s="379"/>
      <c r="AD16" s="380"/>
      <c r="AE16" s="381"/>
      <c r="AF16" s="382"/>
      <c r="AG16" s="368"/>
      <c r="AH16" s="637"/>
      <c r="AI16" s="646"/>
      <c r="AJ16" s="383"/>
      <c r="AK16" s="627"/>
      <c r="AL16" s="368"/>
      <c r="AM16" s="656"/>
      <c r="AN16" s="332"/>
      <c r="AO16" s="859" t="s">
        <v>426</v>
      </c>
      <c r="AP16" s="333" t="s">
        <v>485</v>
      </c>
      <c r="AQ16" s="333"/>
      <c r="AR16" s="333" t="s">
        <v>410</v>
      </c>
      <c r="AS16" s="346"/>
      <c r="AT16" s="346"/>
      <c r="AU16" s="337"/>
      <c r="AV16" s="337"/>
      <c r="AW16" s="337"/>
      <c r="AX16" s="335"/>
    </row>
    <row r="17" spans="1:50" x14ac:dyDescent="0.2">
      <c r="A17" s="584"/>
      <c r="B17" s="585"/>
      <c r="C17" s="586"/>
      <c r="D17" s="587"/>
      <c r="E17" s="588"/>
      <c r="F17" s="588"/>
      <c r="G17" s="589"/>
      <c r="H17" s="589"/>
      <c r="I17" s="590"/>
      <c r="J17" s="589"/>
      <c r="K17" s="590"/>
      <c r="L17" s="589"/>
      <c r="M17" s="591"/>
      <c r="N17" s="589"/>
      <c r="O17" s="592"/>
      <c r="P17" s="593"/>
      <c r="Q17" s="594"/>
      <c r="R17" s="595"/>
      <c r="S17" s="595"/>
      <c r="T17" s="595"/>
      <c r="U17" s="596"/>
      <c r="V17" s="596"/>
      <c r="W17" s="596"/>
      <c r="X17" s="596"/>
      <c r="Y17" s="597"/>
      <c r="Z17" s="598"/>
      <c r="AA17" s="599"/>
      <c r="AB17" s="598"/>
      <c r="AC17" s="600"/>
      <c r="AD17" s="601"/>
      <c r="AE17" s="602"/>
      <c r="AF17" s="603"/>
      <c r="AG17" s="589"/>
      <c r="AH17" s="638"/>
      <c r="AI17" s="647"/>
      <c r="AJ17" s="604"/>
      <c r="AK17" s="628"/>
      <c r="AL17" s="589"/>
      <c r="AM17" s="657"/>
      <c r="AN17" s="605"/>
      <c r="AO17" s="858"/>
      <c r="AP17" s="606"/>
      <c r="AQ17" s="606"/>
      <c r="AR17" s="606"/>
      <c r="AS17" s="595"/>
      <c r="AT17" s="595"/>
      <c r="AU17" s="607"/>
      <c r="AV17" s="607"/>
      <c r="AW17" s="607"/>
      <c r="AX17" s="597"/>
    </row>
    <row r="18" spans="1:50" x14ac:dyDescent="0.2">
      <c r="A18" s="393" t="s">
        <v>293</v>
      </c>
      <c r="B18" s="394"/>
      <c r="C18" s="395"/>
      <c r="D18" s="396"/>
      <c r="E18" s="397"/>
      <c r="F18" s="397"/>
      <c r="G18" s="398"/>
      <c r="H18" s="398"/>
      <c r="I18" s="399"/>
      <c r="J18" s="398"/>
      <c r="K18" s="399"/>
      <c r="L18" s="398"/>
      <c r="M18" s="400"/>
      <c r="N18" s="398"/>
      <c r="O18" s="401"/>
      <c r="P18" s="402"/>
      <c r="Q18" s="403"/>
      <c r="R18" s="404"/>
      <c r="S18" s="404"/>
      <c r="T18" s="404"/>
      <c r="U18" s="405"/>
      <c r="V18" s="405"/>
      <c r="W18" s="405"/>
      <c r="X18" s="405"/>
      <c r="Y18" s="406"/>
      <c r="Z18" s="407"/>
      <c r="AA18" s="408"/>
      <c r="AB18" s="407"/>
      <c r="AC18" s="409"/>
      <c r="AD18" s="410"/>
      <c r="AE18" s="411"/>
      <c r="AF18" s="412"/>
      <c r="AG18" s="398"/>
      <c r="AH18" s="639"/>
      <c r="AI18" s="648"/>
      <c r="AJ18" s="413"/>
      <c r="AK18" s="629"/>
      <c r="AL18" s="398"/>
      <c r="AM18" s="658"/>
      <c r="AN18" s="332"/>
      <c r="AO18" s="859" t="str">
        <f ca="1">CONCATENATE("Bij van toepassing worden van een emissie-eis wordt een periodieke meting uitgevoerd",IF(OR(MW&lt;1,Offshore),IF(TSI&lt;0," en vervolgens vierjaarlijks",""),IF(MW&gt;20," en vervolgens jaarlijks"," en vervolgens driejaarlijks"))," (art. 4.1314). ",IF(INGVAN&gt;=IWTMCP,"",CONCATENATE("Tot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v>
      </c>
      <c r="AP18" s="333" t="s">
        <v>522</v>
      </c>
      <c r="AQ18" s="333" t="s">
        <v>519</v>
      </c>
      <c r="AR18" s="333" t="s">
        <v>247</v>
      </c>
      <c r="AS18" s="327"/>
      <c r="AT18" s="327"/>
      <c r="AU18" s="331"/>
      <c r="AV18" s="331"/>
      <c r="AW18" s="331"/>
      <c r="AX18" s="328"/>
    </row>
    <row r="19" spans="1:50" x14ac:dyDescent="0.2">
      <c r="A19" s="295"/>
      <c r="B19" s="745">
        <f t="shared" ref="B19" ca="1" si="26">IF(AND(SUM(D19:K19,L19:M19)=COUNT(D19:K19,L19:M19),COUNT(D19:K19,L19:M19)&gt;0),ROW(B19),0)</f>
        <v>0</v>
      </c>
      <c r="C19" s="746">
        <f t="shared" ref="C19" ca="1" si="27">IF(AND(SUM(D19:K19,N19:O19)=COUNT(D19:K19,N19:O19),COUNT(D19:K19,N19:O19)&gt;0),ROW(B19),0)</f>
        <v>0</v>
      </c>
      <c r="D19" s="747">
        <f t="shared" ref="D19" ca="1" si="28">IF(AND(OR($Z19="",INGVAN="",$Z19&lt;=INGVAN),OR($Z19="",INGTOT="",$Z19&lt;=INGTOT),OR($AA19="",INGVAN="",$AA19&gt;=INGVAN),OR($AA19="",INGTOT="",$AA19&gt;=INGTOT)),1,0)</f>
        <v>1</v>
      </c>
      <c r="E19" s="748">
        <f t="shared" ref="E19" ca="1" si="29">IF(AND(OR($AB19="",Tdatum&gt;=$AB19,AND(AB19&lt;&gt;"",ISNUMBER(FIND("j",LOWER(AD19))))),OR($AC19="",Tdatum&lt;=$AC19)),1,0)</f>
        <v>1</v>
      </c>
      <c r="F19" s="748">
        <f t="shared" ref="F19" ca="1" si="30">IF(AND(OR($S19="",MW&gt;=$S19),OR($T19="",$T19&gt;MW)),1,0)</f>
        <v>1</v>
      </c>
      <c r="G19" s="749">
        <f ca="1">IF(TSI=1,1,0)</f>
        <v>1</v>
      </c>
      <c r="H19" s="749"/>
      <c r="I19" s="750"/>
      <c r="J19" s="749"/>
      <c r="K19" s="750"/>
      <c r="L19" s="749">
        <f ca="1">IF(AND(BRAND1&gt;=8,BRAND1&lt;=10),1,0)</f>
        <v>0</v>
      </c>
      <c r="M19" s="751">
        <f t="shared" ref="M19" ca="1" si="31">IF(AND(ParBAL1&lt;&gt;"",ParBAL1=P19),1,0)</f>
        <v>1</v>
      </c>
      <c r="N19" s="749">
        <f ca="1">IF(AND(BRAND2&gt;=8,BRAND2&lt;=10),1,0)</f>
        <v>0</v>
      </c>
      <c r="O19" s="746">
        <f t="shared" ref="O19" ca="1" si="32">IF(AND(ParBAL2&lt;&gt;"",ParBAL2=P19),1,0)</f>
        <v>0</v>
      </c>
      <c r="P19" s="800" t="s">
        <v>106</v>
      </c>
      <c r="Q19" s="753" t="s">
        <v>526</v>
      </c>
      <c r="R19" s="753"/>
      <c r="S19" s="753"/>
      <c r="T19" s="753"/>
      <c r="U19" s="755"/>
      <c r="V19" s="755"/>
      <c r="W19" s="755"/>
      <c r="X19" s="755"/>
      <c r="Y19" s="756"/>
      <c r="Z19" s="757"/>
      <c r="AA19" s="758"/>
      <c r="AB19" s="757"/>
      <c r="AC19" s="759"/>
      <c r="AD19" s="760"/>
      <c r="AE19" s="761" t="s">
        <v>205</v>
      </c>
      <c r="AF19" s="762" t="s">
        <v>401</v>
      </c>
      <c r="AG19" s="749"/>
      <c r="AH19" s="764" t="s">
        <v>518</v>
      </c>
      <c r="AI19" s="645"/>
      <c r="AJ19" s="269"/>
      <c r="AK19" s="797" t="s">
        <v>517</v>
      </c>
      <c r="AL19" s="749">
        <v>20</v>
      </c>
      <c r="AM19" s="764" t="s">
        <v>536</v>
      </c>
      <c r="AN19" s="347"/>
      <c r="AO19" s="864" t="str">
        <f ca="1">IF($AF19="","",AO18)</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v>
      </c>
      <c r="AP19" s="864" t="str">
        <f t="shared" ref="AP19:AR19" si="33">IF($AF19="","",AP18)</f>
        <v xml:space="preserve">Een periodieke meting bestaat uit drie deelmetingen van 15-30 minuten. De metingen mogen worden uitgevoerd door een geaccrediteerd laboratorium volgens NEN-EN-ISO 21877 (art. 4.1312). </v>
      </c>
      <c r="AQ19" s="864" t="str">
        <f t="shared" si="33"/>
        <v>De aangetoonde meetonzekerheid mag niet groter zijn dan 40% van de emissie-eis (art. 4.1312 en art. 4.1319).</v>
      </c>
      <c r="AR19" s="864" t="str">
        <f t="shared" si="3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19" s="348"/>
      <c r="AT19" s="348"/>
      <c r="AU19" s="150"/>
      <c r="AV19" s="150"/>
      <c r="AW19" s="150"/>
      <c r="AX19" s="151"/>
    </row>
    <row r="20" spans="1:50" x14ac:dyDescent="0.2">
      <c r="A20" s="295"/>
      <c r="B20" s="340"/>
      <c r="C20" s="341"/>
      <c r="D20" s="326"/>
      <c r="E20" s="46"/>
      <c r="F20" s="46"/>
      <c r="G20" s="147"/>
      <c r="H20" s="147"/>
      <c r="I20" s="148"/>
      <c r="J20" s="147"/>
      <c r="K20" s="148"/>
      <c r="L20" s="147"/>
      <c r="M20" s="56"/>
      <c r="N20" s="147"/>
      <c r="O20" s="59"/>
      <c r="P20" s="279"/>
      <c r="Q20" s="160"/>
      <c r="R20" s="149"/>
      <c r="S20" s="149"/>
      <c r="T20" s="149"/>
      <c r="U20" s="150"/>
      <c r="V20" s="150"/>
      <c r="W20" s="150"/>
      <c r="X20" s="150"/>
      <c r="Y20" s="151"/>
      <c r="Z20" s="143"/>
      <c r="AA20" s="144"/>
      <c r="AB20" s="143"/>
      <c r="AC20" s="145"/>
      <c r="AD20" s="146"/>
      <c r="AE20" s="276"/>
      <c r="AF20" s="152"/>
      <c r="AG20" s="147"/>
      <c r="AH20" s="636"/>
      <c r="AI20" s="645"/>
      <c r="AJ20" s="269"/>
      <c r="AK20" s="626"/>
      <c r="AL20" s="147"/>
      <c r="AM20" s="636"/>
      <c r="AN20" s="685"/>
      <c r="AO20" s="685"/>
      <c r="AP20" s="684"/>
      <c r="AQ20" s="684"/>
      <c r="AR20" s="684"/>
      <c r="AS20" s="149"/>
      <c r="AT20" s="149"/>
      <c r="AU20" s="157"/>
      <c r="AV20" s="157"/>
      <c r="AW20" s="157"/>
      <c r="AX20" s="151"/>
    </row>
    <row r="21" spans="1:50" x14ac:dyDescent="0.2">
      <c r="A21" s="363" t="s">
        <v>339</v>
      </c>
      <c r="B21" s="364"/>
      <c r="C21" s="365"/>
      <c r="D21" s="366"/>
      <c r="E21" s="367"/>
      <c r="F21" s="367"/>
      <c r="G21" s="368"/>
      <c r="H21" s="368"/>
      <c r="I21" s="369"/>
      <c r="J21" s="368"/>
      <c r="K21" s="369"/>
      <c r="L21" s="368"/>
      <c r="M21" s="370"/>
      <c r="N21" s="368"/>
      <c r="O21" s="371"/>
      <c r="P21" s="372"/>
      <c r="Q21" s="373"/>
      <c r="R21" s="374"/>
      <c r="S21" s="374"/>
      <c r="T21" s="374"/>
      <c r="U21" s="375"/>
      <c r="V21" s="375"/>
      <c r="W21" s="375"/>
      <c r="X21" s="375"/>
      <c r="Y21" s="376"/>
      <c r="Z21" s="377"/>
      <c r="AA21" s="378"/>
      <c r="AB21" s="377"/>
      <c r="AC21" s="379"/>
      <c r="AD21" s="380"/>
      <c r="AE21" s="381"/>
      <c r="AF21" s="382"/>
      <c r="AG21" s="368"/>
      <c r="AH21" s="637"/>
      <c r="AI21" s="646"/>
      <c r="AJ21" s="383"/>
      <c r="AK21" s="627"/>
      <c r="AL21" s="368"/>
      <c r="AM21" s="637"/>
      <c r="AN21" s="686"/>
      <c r="AO21" s="686"/>
      <c r="AP21" s="346"/>
      <c r="AQ21" s="346"/>
      <c r="AR21" s="346"/>
      <c r="AS21" s="346"/>
      <c r="AT21" s="346"/>
      <c r="AU21" s="337"/>
      <c r="AV21" s="337"/>
      <c r="AW21" s="337"/>
      <c r="AX21" s="335"/>
    </row>
    <row r="22" spans="1:50" x14ac:dyDescent="0.2">
      <c r="A22" s="584"/>
      <c r="B22" s="585"/>
      <c r="C22" s="586"/>
      <c r="D22" s="587"/>
      <c r="E22" s="588"/>
      <c r="F22" s="588"/>
      <c r="G22" s="589"/>
      <c r="H22" s="589"/>
      <c r="I22" s="590"/>
      <c r="J22" s="589"/>
      <c r="K22" s="590"/>
      <c r="L22" s="589"/>
      <c r="M22" s="591"/>
      <c r="N22" s="589"/>
      <c r="O22" s="592"/>
      <c r="P22" s="593"/>
      <c r="Q22" s="594"/>
      <c r="R22" s="595"/>
      <c r="S22" s="595"/>
      <c r="T22" s="595"/>
      <c r="U22" s="596"/>
      <c r="V22" s="596"/>
      <c r="W22" s="596"/>
      <c r="X22" s="596"/>
      <c r="Y22" s="597"/>
      <c r="Z22" s="598"/>
      <c r="AA22" s="599"/>
      <c r="AB22" s="598"/>
      <c r="AC22" s="600"/>
      <c r="AD22" s="601"/>
      <c r="AE22" s="602"/>
      <c r="AF22" s="603"/>
      <c r="AG22" s="589"/>
      <c r="AH22" s="638"/>
      <c r="AI22" s="647"/>
      <c r="AJ22" s="604"/>
      <c r="AK22" s="628"/>
      <c r="AL22" s="589"/>
      <c r="AM22" s="657"/>
      <c r="AN22" s="605"/>
      <c r="AO22" s="858"/>
      <c r="AP22" s="606"/>
      <c r="AQ22" s="606"/>
      <c r="AR22" s="606"/>
      <c r="AS22" s="595"/>
      <c r="AT22" s="595"/>
      <c r="AU22" s="607"/>
      <c r="AV22" s="607"/>
      <c r="AW22" s="607"/>
      <c r="AX22" s="597"/>
    </row>
    <row r="23" spans="1:50" x14ac:dyDescent="0.2">
      <c r="A23" s="393" t="s">
        <v>292</v>
      </c>
      <c r="B23" s="394"/>
      <c r="C23" s="395"/>
      <c r="D23" s="396"/>
      <c r="E23" s="397"/>
      <c r="F23" s="397"/>
      <c r="G23" s="398"/>
      <c r="H23" s="398"/>
      <c r="I23" s="399"/>
      <c r="J23" s="398"/>
      <c r="K23" s="399"/>
      <c r="L23" s="398"/>
      <c r="M23" s="400"/>
      <c r="N23" s="398"/>
      <c r="O23" s="401"/>
      <c r="P23" s="402"/>
      <c r="Q23" s="403"/>
      <c r="R23" s="404"/>
      <c r="S23" s="404"/>
      <c r="T23" s="404"/>
      <c r="U23" s="405"/>
      <c r="V23" s="405"/>
      <c r="W23" s="405"/>
      <c r="X23" s="405"/>
      <c r="Y23" s="406"/>
      <c r="Z23" s="407"/>
      <c r="AA23" s="408"/>
      <c r="AB23" s="407"/>
      <c r="AC23" s="409"/>
      <c r="AD23" s="410"/>
      <c r="AE23" s="411"/>
      <c r="AF23" s="412"/>
      <c r="AG23" s="398"/>
      <c r="AH23" s="639"/>
      <c r="AI23" s="648"/>
      <c r="AJ23" s="413"/>
      <c r="AK23" s="629"/>
      <c r="AL23" s="398"/>
      <c r="AM23" s="658"/>
      <c r="AN23" s="332"/>
      <c r="AO23" s="859"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23" s="333" t="s">
        <v>520</v>
      </c>
      <c r="AQ23" s="333" t="s">
        <v>521</v>
      </c>
      <c r="AR23" s="333" t="s">
        <v>264</v>
      </c>
      <c r="AS23" s="327"/>
      <c r="AT23" s="327"/>
      <c r="AU23" s="331"/>
      <c r="AV23" s="331"/>
      <c r="AW23" s="331"/>
      <c r="AX23" s="328"/>
    </row>
    <row r="24" spans="1:50" x14ac:dyDescent="0.2">
      <c r="A24" s="295"/>
      <c r="B24" s="745">
        <f t="shared" ref="B24" ca="1" si="34">IF(AND(SUM(D24:K24,L24:M24)=COUNT(D24:K24,L24:M24),COUNT(D24:K24,L24:M24)&gt;0),ROW(B24),0)</f>
        <v>0</v>
      </c>
      <c r="C24" s="746">
        <f t="shared" ref="C24" ca="1" si="35">IF(AND(SUM(D24:K24,N24:O24)=COUNT(D24:K24,N24:O24),COUNT(D24:K24,N24:O24)&gt;0),ROW(B24),0)</f>
        <v>0</v>
      </c>
      <c r="D24" s="747">
        <f t="shared" ref="D24" ca="1" si="36">IF(AND(OR($Z24="",INGVAN="",$Z24&lt;=INGVAN),OR($Z24="",INGTOT="",$Z24&lt;=INGTOT),OR($AA24="",INGVAN="",$AA24&gt;=INGVAN),OR($AA24="",INGTOT="",$AA24&gt;=INGTOT)),1,0)</f>
        <v>1</v>
      </c>
      <c r="E24" s="748">
        <f t="shared" ref="E24" ca="1" si="37">IF(AND(OR($AB24="",Tdatum&gt;=$AB24,AND(AB24&lt;&gt;"",ISNUMBER(FIND("j",LOWER(AD24))))),OR($AC24="",Tdatum&lt;=$AC24)),1,0)</f>
        <v>1</v>
      </c>
      <c r="F24" s="748">
        <f t="shared" ref="F24" ca="1" si="38">IF(AND(OR($S24="",MW&gt;=$S24),OR($T24="",$T24&gt;MW)),1,0)</f>
        <v>1</v>
      </c>
      <c r="G24" s="749">
        <f ca="1">IF(TSI=1,1,0)</f>
        <v>1</v>
      </c>
      <c r="H24" s="749"/>
      <c r="I24" s="750"/>
      <c r="J24" s="749"/>
      <c r="K24" s="750"/>
      <c r="L24" s="749">
        <f ca="1">IF(AND(BRAND1&gt;=8,BRAND1&lt;=10),1,0)</f>
        <v>0</v>
      </c>
      <c r="M24" s="751">
        <f t="shared" ref="M24" ca="1" si="39">IF(AND(ParBAL1&lt;&gt;"",ParBAL1=P24),1,0)</f>
        <v>0</v>
      </c>
      <c r="N24" s="749">
        <f ca="1">IF(AND(BRAND2&gt;=8,BRAND2&lt;=10),1,0)</f>
        <v>0</v>
      </c>
      <c r="O24" s="746">
        <f t="shared" ref="O24" ca="1" si="40">IF(AND(ParBAL2&lt;&gt;"",ParBAL2=P24),1,0)</f>
        <v>0</v>
      </c>
      <c r="P24" s="800" t="s">
        <v>105</v>
      </c>
      <c r="Q24" s="753" t="s">
        <v>526</v>
      </c>
      <c r="R24" s="753"/>
      <c r="S24" s="753"/>
      <c r="T24" s="753"/>
      <c r="U24" s="755"/>
      <c r="V24" s="755"/>
      <c r="W24" s="755"/>
      <c r="X24" s="755"/>
      <c r="Y24" s="756"/>
      <c r="Z24" s="757"/>
      <c r="AA24" s="758"/>
      <c r="AB24" s="757"/>
      <c r="AC24" s="759"/>
      <c r="AD24" s="760"/>
      <c r="AE24" s="761" t="s">
        <v>261</v>
      </c>
      <c r="AF24" s="762" t="s">
        <v>401</v>
      </c>
      <c r="AG24" s="749"/>
      <c r="AH24" s="764" t="s">
        <v>518</v>
      </c>
      <c r="AI24" s="645"/>
      <c r="AJ24" s="269"/>
      <c r="AK24" s="797" t="s">
        <v>517</v>
      </c>
      <c r="AL24" s="749">
        <v>20</v>
      </c>
      <c r="AM24" s="764" t="s">
        <v>536</v>
      </c>
      <c r="AN24" s="347"/>
      <c r="AO24" s="864" t="str">
        <f ca="1">IF($AF24="","",AO23)</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24" s="864" t="str">
        <f t="shared" ref="AP24:AR24" si="41">IF($AF24="","",AP23)</f>
        <v xml:space="preserve">Een periodieke meting bestaat uit drie deelmetingen van 15-30 minuten. De metingen mogen worden uitgevoerd door een geaccrediteerde laboratorium volgens NEN-EN-ISO 21877 (art. 4.1354). </v>
      </c>
      <c r="AQ24" s="864" t="str">
        <f t="shared" si="41"/>
        <v>De aangetoonde meetonzekerheid mag niet groter zijn dan 40% van de emissie-eis (art. 4.1354 en art. 4.1361).</v>
      </c>
      <c r="AR24" s="864" t="str">
        <f t="shared" si="4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24" s="348"/>
      <c r="AT24" s="348"/>
      <c r="AU24" s="150"/>
      <c r="AV24" s="150"/>
      <c r="AW24" s="150"/>
      <c r="AX24" s="151"/>
    </row>
    <row r="25" spans="1:50" x14ac:dyDescent="0.2">
      <c r="A25" s="295"/>
      <c r="B25" s="340"/>
      <c r="C25" s="341"/>
      <c r="D25" s="326"/>
      <c r="E25" s="46"/>
      <c r="F25" s="46"/>
      <c r="G25" s="147"/>
      <c r="H25" s="147"/>
      <c r="I25" s="148"/>
      <c r="J25" s="147"/>
      <c r="K25" s="148"/>
      <c r="L25" s="147"/>
      <c r="M25" s="56"/>
      <c r="N25" s="147"/>
      <c r="O25" s="59"/>
      <c r="P25" s="279"/>
      <c r="Q25" s="160"/>
      <c r="R25" s="149"/>
      <c r="S25" s="149"/>
      <c r="T25" s="149"/>
      <c r="U25" s="150"/>
      <c r="V25" s="150"/>
      <c r="W25" s="150"/>
      <c r="X25" s="150"/>
      <c r="Y25" s="151"/>
      <c r="Z25" s="143"/>
      <c r="AA25" s="144"/>
      <c r="AB25" s="143"/>
      <c r="AC25" s="145"/>
      <c r="AD25" s="146"/>
      <c r="AE25" s="276"/>
      <c r="AF25" s="152"/>
      <c r="AG25" s="147"/>
      <c r="AH25" s="636"/>
      <c r="AI25" s="645"/>
      <c r="AJ25" s="269"/>
      <c r="AK25" s="626"/>
      <c r="AL25" s="147"/>
      <c r="AM25" s="655"/>
      <c r="AN25" s="154"/>
      <c r="AO25" s="156"/>
      <c r="AP25" s="155"/>
      <c r="AQ25" s="155"/>
      <c r="AR25" s="155"/>
      <c r="AS25" s="149"/>
      <c r="AT25" s="149"/>
      <c r="AU25" s="157"/>
      <c r="AV25" s="157"/>
      <c r="AW25" s="157"/>
      <c r="AX25" s="151"/>
    </row>
    <row r="26" spans="1:50" x14ac:dyDescent="0.2">
      <c r="A26" s="363" t="s">
        <v>340</v>
      </c>
      <c r="B26" s="364"/>
      <c r="C26" s="365"/>
      <c r="D26" s="366"/>
      <c r="E26" s="367"/>
      <c r="F26" s="367"/>
      <c r="G26" s="368"/>
      <c r="H26" s="368"/>
      <c r="I26" s="369"/>
      <c r="J26" s="368"/>
      <c r="K26" s="369"/>
      <c r="L26" s="368"/>
      <c r="M26" s="370"/>
      <c r="N26" s="368"/>
      <c r="O26" s="371"/>
      <c r="P26" s="372"/>
      <c r="Q26" s="373"/>
      <c r="R26" s="374"/>
      <c r="S26" s="374"/>
      <c r="T26" s="374"/>
      <c r="U26" s="375"/>
      <c r="V26" s="375"/>
      <c r="W26" s="375"/>
      <c r="X26" s="375"/>
      <c r="Y26" s="376"/>
      <c r="Z26" s="377"/>
      <c r="AA26" s="378"/>
      <c r="AB26" s="377"/>
      <c r="AC26" s="379"/>
      <c r="AD26" s="380"/>
      <c r="AE26" s="381"/>
      <c r="AF26" s="382"/>
      <c r="AG26" s="368"/>
      <c r="AH26" s="637"/>
      <c r="AI26" s="646"/>
      <c r="AJ26" s="383"/>
      <c r="AK26" s="627"/>
      <c r="AL26" s="368"/>
      <c r="AM26" s="656"/>
      <c r="AN26" s="345"/>
      <c r="AO26" s="686"/>
      <c r="AP26" s="346"/>
      <c r="AQ26" s="346"/>
      <c r="AR26" s="346"/>
      <c r="AS26" s="346"/>
      <c r="AT26" s="346"/>
      <c r="AU26" s="337"/>
      <c r="AV26" s="337"/>
      <c r="AW26" s="337"/>
      <c r="AX26" s="335"/>
    </row>
    <row r="27" spans="1:50" x14ac:dyDescent="0.2">
      <c r="A27" s="584"/>
      <c r="B27" s="585"/>
      <c r="C27" s="586"/>
      <c r="D27" s="587"/>
      <c r="E27" s="588"/>
      <c r="F27" s="588"/>
      <c r="G27" s="589"/>
      <c r="H27" s="589"/>
      <c r="I27" s="590"/>
      <c r="J27" s="589"/>
      <c r="K27" s="590"/>
      <c r="L27" s="589"/>
      <c r="M27" s="591"/>
      <c r="N27" s="589"/>
      <c r="O27" s="592"/>
      <c r="P27" s="593"/>
      <c r="Q27" s="594"/>
      <c r="R27" s="595"/>
      <c r="S27" s="595"/>
      <c r="T27" s="595"/>
      <c r="U27" s="596"/>
      <c r="V27" s="596"/>
      <c r="W27" s="596"/>
      <c r="X27" s="596"/>
      <c r="Y27" s="597"/>
      <c r="Z27" s="598"/>
      <c r="AA27" s="599"/>
      <c r="AB27" s="598"/>
      <c r="AC27" s="600"/>
      <c r="AD27" s="601"/>
      <c r="AE27" s="602"/>
      <c r="AF27" s="603"/>
      <c r="AG27" s="589"/>
      <c r="AH27" s="638"/>
      <c r="AI27" s="647"/>
      <c r="AJ27" s="604"/>
      <c r="AK27" s="628"/>
      <c r="AL27" s="589"/>
      <c r="AM27" s="657"/>
      <c r="AN27" s="605"/>
      <c r="AO27" s="858"/>
      <c r="AP27" s="606"/>
      <c r="AQ27" s="606"/>
      <c r="AR27" s="606"/>
      <c r="AS27" s="595"/>
      <c r="AT27" s="595"/>
      <c r="AU27" s="607"/>
      <c r="AV27" s="607"/>
      <c r="AW27" s="607"/>
      <c r="AX27" s="597"/>
    </row>
    <row r="28" spans="1:50" x14ac:dyDescent="0.2">
      <c r="A28" s="393" t="s">
        <v>291</v>
      </c>
      <c r="B28" s="394"/>
      <c r="C28" s="395"/>
      <c r="D28" s="396"/>
      <c r="E28" s="397"/>
      <c r="F28" s="397"/>
      <c r="G28" s="398"/>
      <c r="H28" s="398"/>
      <c r="I28" s="399"/>
      <c r="J28" s="398"/>
      <c r="K28" s="399"/>
      <c r="L28" s="398"/>
      <c r="M28" s="400"/>
      <c r="N28" s="398"/>
      <c r="O28" s="401"/>
      <c r="P28" s="402"/>
      <c r="Q28" s="403"/>
      <c r="R28" s="404"/>
      <c r="S28" s="404"/>
      <c r="T28" s="404"/>
      <c r="U28" s="405"/>
      <c r="V28" s="405"/>
      <c r="W28" s="405"/>
      <c r="X28" s="405"/>
      <c r="Y28" s="406"/>
      <c r="Z28" s="407"/>
      <c r="AA28" s="408"/>
      <c r="AB28" s="407"/>
      <c r="AC28" s="409"/>
      <c r="AD28" s="410"/>
      <c r="AE28" s="411"/>
      <c r="AF28" s="412"/>
      <c r="AG28" s="398"/>
      <c r="AH28" s="639"/>
      <c r="AI28" s="648"/>
      <c r="AJ28" s="413"/>
      <c r="AK28" s="629"/>
      <c r="AL28" s="398"/>
      <c r="AM28" s="658"/>
      <c r="AN28" s="332"/>
      <c r="AO28" s="859"/>
      <c r="AP28" s="333"/>
      <c r="AQ28" s="333"/>
      <c r="AR28" s="333"/>
      <c r="AS28" s="327"/>
      <c r="AT28" s="327"/>
      <c r="AU28" s="331"/>
      <c r="AV28" s="331"/>
      <c r="AW28" s="331"/>
      <c r="AX28" s="328"/>
    </row>
    <row r="29" spans="1:50" x14ac:dyDescent="0.2">
      <c r="A29" s="295"/>
      <c r="B29" s="340"/>
      <c r="C29" s="341"/>
      <c r="D29" s="326"/>
      <c r="E29" s="46"/>
      <c r="F29" s="46"/>
      <c r="G29" s="147"/>
      <c r="H29" s="147"/>
      <c r="I29" s="148"/>
      <c r="J29" s="147"/>
      <c r="K29" s="148"/>
      <c r="L29" s="147"/>
      <c r="M29" s="56"/>
      <c r="N29" s="147"/>
      <c r="O29" s="59"/>
      <c r="P29" s="279"/>
      <c r="Q29" s="160"/>
      <c r="R29" s="149"/>
      <c r="S29" s="149"/>
      <c r="T29" s="149"/>
      <c r="U29" s="150"/>
      <c r="V29" s="150"/>
      <c r="W29" s="150"/>
      <c r="X29" s="150"/>
      <c r="Y29" s="151"/>
      <c r="Z29" s="143"/>
      <c r="AA29" s="144"/>
      <c r="AB29" s="143"/>
      <c r="AC29" s="145"/>
      <c r="AD29" s="146"/>
      <c r="AE29" s="276"/>
      <c r="AF29" s="152"/>
      <c r="AG29" s="147"/>
      <c r="AH29" s="636"/>
      <c r="AI29" s="645"/>
      <c r="AJ29" s="269"/>
      <c r="AK29" s="626"/>
      <c r="AL29" s="147"/>
      <c r="AM29" s="655"/>
      <c r="AN29" s="154"/>
      <c r="AO29" s="156"/>
      <c r="AP29" s="155"/>
      <c r="AQ29" s="155"/>
      <c r="AR29" s="155"/>
      <c r="AS29" s="149"/>
      <c r="AT29" s="149"/>
      <c r="AU29" s="157"/>
      <c r="AV29" s="157"/>
      <c r="AW29" s="157"/>
      <c r="AX29" s="151"/>
    </row>
    <row r="30" spans="1:50" x14ac:dyDescent="0.2">
      <c r="A30" s="363" t="s">
        <v>341</v>
      </c>
      <c r="B30" s="364"/>
      <c r="C30" s="365"/>
      <c r="D30" s="366"/>
      <c r="E30" s="367"/>
      <c r="F30" s="367"/>
      <c r="G30" s="368"/>
      <c r="H30" s="368"/>
      <c r="I30" s="369"/>
      <c r="J30" s="368"/>
      <c r="K30" s="369"/>
      <c r="L30" s="368"/>
      <c r="M30" s="370"/>
      <c r="N30" s="368"/>
      <c r="O30" s="371"/>
      <c r="P30" s="372"/>
      <c r="Q30" s="373"/>
      <c r="R30" s="374"/>
      <c r="S30" s="374"/>
      <c r="T30" s="374"/>
      <c r="U30" s="375"/>
      <c r="V30" s="375"/>
      <c r="W30" s="375"/>
      <c r="X30" s="375"/>
      <c r="Y30" s="376"/>
      <c r="Z30" s="377"/>
      <c r="AA30" s="378"/>
      <c r="AB30" s="377"/>
      <c r="AC30" s="379"/>
      <c r="AD30" s="380"/>
      <c r="AE30" s="381"/>
      <c r="AF30" s="382"/>
      <c r="AG30" s="368"/>
      <c r="AH30" s="637"/>
      <c r="AI30" s="646"/>
      <c r="AJ30" s="383"/>
      <c r="AK30" s="627"/>
      <c r="AL30" s="368"/>
      <c r="AM30" s="656"/>
      <c r="AN30" s="345"/>
      <c r="AO30" s="686"/>
      <c r="AP30" s="346"/>
      <c r="AQ30" s="346"/>
      <c r="AR30" s="346"/>
      <c r="AS30" s="346"/>
      <c r="AT30" s="346"/>
      <c r="AU30" s="337"/>
      <c r="AV30" s="337"/>
      <c r="AW30" s="337"/>
      <c r="AX30" s="335"/>
    </row>
    <row r="31" spans="1:50" x14ac:dyDescent="0.2">
      <c r="A31" s="584"/>
      <c r="B31" s="585"/>
      <c r="C31" s="586"/>
      <c r="D31" s="608"/>
      <c r="E31" s="589"/>
      <c r="F31" s="589"/>
      <c r="G31" s="589"/>
      <c r="H31" s="589"/>
      <c r="I31" s="590"/>
      <c r="J31" s="589"/>
      <c r="K31" s="590"/>
      <c r="L31" s="589"/>
      <c r="M31" s="590"/>
      <c r="N31" s="590"/>
      <c r="O31" s="590"/>
      <c r="P31" s="593"/>
      <c r="Q31" s="595"/>
      <c r="R31" s="595"/>
      <c r="S31" s="595"/>
      <c r="T31" s="595"/>
      <c r="U31" s="596"/>
      <c r="V31" s="596"/>
      <c r="W31" s="596"/>
      <c r="X31" s="596"/>
      <c r="Y31" s="597"/>
      <c r="Z31" s="598"/>
      <c r="AA31" s="599"/>
      <c r="AB31" s="598"/>
      <c r="AC31" s="600"/>
      <c r="AD31" s="601"/>
      <c r="AE31" s="602"/>
      <c r="AF31" s="603"/>
      <c r="AG31" s="589"/>
      <c r="AH31" s="638"/>
      <c r="AI31" s="647"/>
      <c r="AJ31" s="604"/>
      <c r="AK31" s="628"/>
      <c r="AL31" s="589"/>
      <c r="AM31" s="657"/>
      <c r="AN31" s="609"/>
      <c r="AO31" s="861"/>
      <c r="AP31" s="595"/>
      <c r="AQ31" s="595"/>
      <c r="AR31" s="595"/>
      <c r="AS31" s="595"/>
      <c r="AT31" s="595"/>
      <c r="AU31" s="596"/>
      <c r="AV31" s="596"/>
      <c r="AW31" s="596"/>
      <c r="AX31" s="597"/>
    </row>
    <row r="32" spans="1:50" x14ac:dyDescent="0.2">
      <c r="A32" s="393" t="s">
        <v>290</v>
      </c>
      <c r="B32" s="394"/>
      <c r="C32" s="395"/>
      <c r="D32" s="396"/>
      <c r="E32" s="397"/>
      <c r="F32" s="397"/>
      <c r="G32" s="398"/>
      <c r="H32" s="398"/>
      <c r="I32" s="399"/>
      <c r="J32" s="398"/>
      <c r="K32" s="399"/>
      <c r="L32" s="398"/>
      <c r="M32" s="400"/>
      <c r="N32" s="398"/>
      <c r="O32" s="401"/>
      <c r="P32" s="402"/>
      <c r="Q32" s="403"/>
      <c r="R32" s="404"/>
      <c r="S32" s="404"/>
      <c r="T32" s="404"/>
      <c r="U32" s="405"/>
      <c r="V32" s="405"/>
      <c r="W32" s="405"/>
      <c r="X32" s="405"/>
      <c r="Y32" s="406"/>
      <c r="Z32" s="407"/>
      <c r="AA32" s="408"/>
      <c r="AB32" s="407"/>
      <c r="AC32" s="409"/>
      <c r="AD32" s="410"/>
      <c r="AE32" s="411"/>
      <c r="AF32" s="412"/>
      <c r="AG32" s="398"/>
      <c r="AH32" s="639"/>
      <c r="AI32" s="648"/>
      <c r="AJ32" s="413"/>
      <c r="AK32" s="629"/>
      <c r="AL32" s="398"/>
      <c r="AM32" s="658"/>
      <c r="AN32" s="329"/>
      <c r="AO32" s="862"/>
      <c r="AP32" s="330"/>
      <c r="AQ32" s="330"/>
      <c r="AR32" s="330"/>
      <c r="AS32" s="327"/>
      <c r="AT32" s="327"/>
      <c r="AU32" s="331"/>
      <c r="AV32" s="331"/>
      <c r="AW32" s="331"/>
      <c r="AX32" s="328"/>
    </row>
    <row r="33" spans="1:50" x14ac:dyDescent="0.2">
      <c r="A33" s="334"/>
      <c r="B33" s="340"/>
      <c r="C33" s="341"/>
      <c r="D33" s="338"/>
      <c r="E33" s="46"/>
      <c r="F33" s="46"/>
      <c r="G33" s="147"/>
      <c r="H33" s="147"/>
      <c r="I33" s="148"/>
      <c r="J33" s="147"/>
      <c r="K33" s="148"/>
      <c r="L33" s="147"/>
      <c r="M33" s="56"/>
      <c r="N33" s="148"/>
      <c r="O33" s="56"/>
      <c r="P33" s="279"/>
      <c r="Q33" s="160"/>
      <c r="R33" s="149"/>
      <c r="S33" s="149"/>
      <c r="T33" s="149"/>
      <c r="U33" s="150"/>
      <c r="V33" s="150"/>
      <c r="W33" s="150"/>
      <c r="X33" s="150"/>
      <c r="Y33" s="151"/>
      <c r="Z33" s="143"/>
      <c r="AA33" s="144"/>
      <c r="AB33" s="143"/>
      <c r="AC33" s="145"/>
      <c r="AD33" s="146"/>
      <c r="AE33" s="276"/>
      <c r="AF33" s="152"/>
      <c r="AG33" s="147"/>
      <c r="AH33" s="636"/>
      <c r="AI33" s="645"/>
      <c r="AJ33" s="269"/>
      <c r="AK33" s="626"/>
      <c r="AL33" s="147"/>
      <c r="AM33" s="655"/>
      <c r="AN33" s="154"/>
      <c r="AO33" s="156"/>
      <c r="AP33" s="155"/>
      <c r="AQ33" s="155"/>
      <c r="AR33" s="155"/>
      <c r="AS33" s="149"/>
      <c r="AT33" s="149"/>
      <c r="AU33" s="157"/>
      <c r="AV33" s="157"/>
      <c r="AW33" s="157"/>
      <c r="AX33" s="151"/>
    </row>
    <row r="34" spans="1:50" ht="12" thickBot="1" x14ac:dyDescent="0.25">
      <c r="A34" s="297"/>
      <c r="B34" s="343"/>
      <c r="C34" s="344"/>
      <c r="D34" s="161"/>
      <c r="E34" s="161"/>
      <c r="F34" s="161"/>
      <c r="G34" s="161"/>
      <c r="H34" s="161"/>
      <c r="I34" s="162"/>
      <c r="J34" s="161"/>
      <c r="K34" s="162"/>
      <c r="L34" s="161"/>
      <c r="M34" s="162"/>
      <c r="N34" s="162"/>
      <c r="O34" s="162"/>
      <c r="P34" s="280"/>
      <c r="Q34" s="163"/>
      <c r="R34" s="163"/>
      <c r="S34" s="163"/>
      <c r="T34" s="163"/>
      <c r="U34" s="164"/>
      <c r="V34" s="164"/>
      <c r="W34" s="164"/>
      <c r="X34" s="164"/>
      <c r="Y34" s="165"/>
      <c r="Z34" s="166"/>
      <c r="AA34" s="167"/>
      <c r="AB34" s="166"/>
      <c r="AC34" s="168"/>
      <c r="AD34" s="169"/>
      <c r="AE34" s="278"/>
      <c r="AF34" s="171"/>
      <c r="AG34" s="161"/>
      <c r="AH34" s="640"/>
      <c r="AI34" s="649"/>
      <c r="AJ34" s="270"/>
      <c r="AK34" s="632"/>
      <c r="AL34" s="161"/>
      <c r="AM34" s="659"/>
      <c r="AN34" s="170"/>
      <c r="AO34" s="863"/>
      <c r="AP34" s="163"/>
      <c r="AQ34" s="163"/>
      <c r="AR34" s="163"/>
      <c r="AS34" s="163"/>
      <c r="AT34" s="163"/>
      <c r="AU34" s="164"/>
      <c r="AV34" s="164"/>
      <c r="AW34" s="164"/>
      <c r="AX34"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36"/>
  <sheetViews>
    <sheetView workbookViewId="0">
      <pane xSplit="20" ySplit="6" topLeftCell="U7" activePane="bottomRight" state="frozen"/>
      <selection pane="topRight" activeCell="U1" sqref="U1"/>
      <selection pane="bottomLeft" activeCell="A7" sqref="A7"/>
      <selection pane="bottomRight" activeCell="AA3" sqref="AA3"/>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6" width="7.12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Kwik</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IF($B$5=0,"",IF(INDEX(AK$1:AK$36,$B$5)="","",IF(AND(OR($AI5="",INGVAN="",$AI5&lt;=INGVAN),OR($AI5="",INGTOT="",$AI5&lt;=INGTOT)),1,0)))</f>
        <v/>
      </c>
      <c r="AL1" s="184" t="str">
        <f ca="1">IF($B$5=0,"",IF(INDEX(AK$1:AK$36,$B$5)="","",IF(AND(OR($AJ5="",INGVAN="",$AJ5&gt;=INGVAN),OR($AJ5="",INGTOT="",$AJ5&gt;=INGTOT)),1,0)))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512</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Kwik</v>
      </c>
      <c r="AG3" s="129" t="s">
        <v>165</v>
      </c>
      <c r="AH3" s="633" t="s">
        <v>356</v>
      </c>
      <c r="AI3" s="642" t="s">
        <v>358</v>
      </c>
      <c r="AJ3" s="282" t="s">
        <v>359</v>
      </c>
      <c r="AK3" s="624" t="s">
        <v>251</v>
      </c>
      <c r="AL3" s="130" t="s">
        <v>183</v>
      </c>
      <c r="AM3" s="652" t="s">
        <v>209</v>
      </c>
      <c r="AN3" s="530" t="s">
        <v>534</v>
      </c>
      <c r="AO3" s="853"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IF(AND(AF5="",AF6=""),"",CONCATENATE(ROUND((100-IF(AF6="",0,ABRAND2))/100*IF(AF5="",0,AF5*(21-AG4)/(21-AG5))+IF(AF5="",100,ABRAND2)/100*IF(AF6="",0,AF6*(21-AG4)/(21-AG6)),0)," ",IF(A2="","",A2)," bij ",AG4," vol% O₂"))</f>
        <v/>
      </c>
      <c r="AG4" s="208" t="str">
        <f ca="1">IF(AG5="",AG6,AG5)</f>
        <v/>
      </c>
      <c r="AH4" s="634" t="str">
        <f ca="1">IF($C$6=0,AH5,IF($B$5=0,AH6,IF($B$5&lt;$C$6,AH5,AH6)))</f>
        <v/>
      </c>
      <c r="AI4" s="643"/>
      <c r="AJ4" s="208"/>
      <c r="AK4" s="696"/>
      <c r="AL4" s="208"/>
      <c r="AM4" s="653" t="str">
        <f ca="1">IF($C$6=0,AM5,IF($B$5=0,AM6,IF($B$5&lt;$C$6,AM5,AM6)))</f>
        <v/>
      </c>
      <c r="AN4" s="209"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54" t="str">
        <f t="shared" ref="AO4:AS4" ca="1" si="7">IF($C$6=0,AO5,IF($B$5=0,AO6,IF($B$5&lt;$C$6,AO5,AO6)))</f>
        <v/>
      </c>
      <c r="AP4" s="210" t="str">
        <f t="shared" ca="1" si="7"/>
        <v/>
      </c>
      <c r="AQ4" s="210" t="str">
        <f t="shared" ca="1" si="7"/>
        <v/>
      </c>
      <c r="AR4" s="211" t="str">
        <f t="shared" ca="1" si="7"/>
        <v/>
      </c>
      <c r="AS4" s="210" t="str">
        <f t="shared" ca="1" si="7"/>
        <v/>
      </c>
      <c r="AT4" s="210" t="str">
        <f t="shared" ref="AT4" ca="1" si="8">IF($C$6=0,AT5,IF($B$5=0,AT6,IF($B$5&lt;$C$6,AT5,AT6)))</f>
        <v/>
      </c>
      <c r="AU4" s="212"/>
      <c r="AV4" s="212"/>
      <c r="AW4" s="212"/>
      <c r="AX4" s="213" t="str">
        <f ca="1">CONCATENATE(IF($AL$4="","",$AL$4),IF($AW$2="","",CONCATENATE(IF(AL4&lt;&gt;"",CHAR(10),""),"+ ",$AW$2)))</f>
        <v/>
      </c>
    </row>
    <row r="5" spans="1:50" x14ac:dyDescent="0.2">
      <c r="A5" s="181" t="s">
        <v>29</v>
      </c>
      <c r="B5" s="192">
        <f ca="1">IF(Geldig,MAX(B8:B36),0)</f>
        <v>0</v>
      </c>
      <c r="C5" s="195"/>
      <c r="D5" s="192" t="str">
        <f t="shared" ref="D5:AF5" ca="1" si="9">IF($B$5=0,"",IF(INDEX(D$1:D$36,$B$5)="","",INDEX(D$1:D$36,$B$5)))</f>
        <v/>
      </c>
      <c r="E5" s="193" t="str">
        <f t="shared" ca="1" si="9"/>
        <v/>
      </c>
      <c r="F5" s="193" t="str">
        <f t="shared" ca="1" si="9"/>
        <v/>
      </c>
      <c r="G5" s="193" t="str">
        <f t="shared" ca="1" si="9"/>
        <v/>
      </c>
      <c r="H5" s="193" t="str">
        <f t="shared" ca="1" si="9"/>
        <v/>
      </c>
      <c r="I5" s="194" t="str">
        <f t="shared" ca="1" si="9"/>
        <v/>
      </c>
      <c r="J5" s="193" t="str">
        <f t="shared" ca="1" si="9"/>
        <v/>
      </c>
      <c r="K5" s="194" t="str">
        <f t="shared" ca="1" si="9"/>
        <v/>
      </c>
      <c r="L5" s="193" t="str">
        <f t="shared" ca="1" si="9"/>
        <v/>
      </c>
      <c r="M5" s="194" t="str">
        <f t="shared" ca="1" si="9"/>
        <v/>
      </c>
      <c r="N5" s="194" t="str">
        <f t="shared" ca="1" si="9"/>
        <v/>
      </c>
      <c r="O5" s="195" t="str">
        <f t="shared" ca="1" si="9"/>
        <v/>
      </c>
      <c r="P5" s="187" t="str">
        <f t="shared" ca="1" si="9"/>
        <v/>
      </c>
      <c r="Q5" s="214" t="str">
        <f t="shared" ca="1" si="9"/>
        <v/>
      </c>
      <c r="R5" s="214" t="str">
        <f t="shared" ca="1" si="9"/>
        <v/>
      </c>
      <c r="S5" s="214" t="str">
        <f t="shared" ca="1" si="9"/>
        <v/>
      </c>
      <c r="T5" s="214" t="str">
        <f t="shared" ca="1" si="9"/>
        <v/>
      </c>
      <c r="U5" s="214" t="str">
        <f t="shared" ca="1" si="9"/>
        <v/>
      </c>
      <c r="V5" s="215" t="str">
        <f t="shared" ca="1" si="9"/>
        <v/>
      </c>
      <c r="W5" s="215" t="str">
        <f t="shared" ca="1" si="9"/>
        <v/>
      </c>
      <c r="X5" s="215" t="str">
        <f t="shared" ca="1" si="9"/>
        <v/>
      </c>
      <c r="Y5" s="216" t="str">
        <f t="shared" ca="1" si="9"/>
        <v/>
      </c>
      <c r="Z5" s="217" t="str">
        <f t="shared" ca="1" si="9"/>
        <v/>
      </c>
      <c r="AA5" s="218" t="str">
        <f t="shared" ca="1" si="9"/>
        <v/>
      </c>
      <c r="AB5" s="217" t="str">
        <f t="shared" ca="1" si="9"/>
        <v/>
      </c>
      <c r="AC5" s="219" t="str">
        <f t="shared" ca="1" si="9"/>
        <v/>
      </c>
      <c r="AD5" s="220" t="str">
        <f t="shared" ca="1" si="9"/>
        <v/>
      </c>
      <c r="AE5" s="221" t="str">
        <f t="shared" ca="1" si="9"/>
        <v/>
      </c>
      <c r="AF5" s="222" t="str">
        <f t="shared" ca="1" si="9"/>
        <v/>
      </c>
      <c r="AG5" s="223" t="str">
        <f ca="1">IF($B$5=0,"",IF(INDEX(AG$1:AG$36,$B$5)="",O2BRAND1,INDEX(AG$1:AG$36,$B$5)))</f>
        <v/>
      </c>
      <c r="AH5" s="225" t="str">
        <f ca="1">IF($B$5=0,"",IF(INDEX(AH$1:AH$36,$B$5)="","",INDEX(AH$1:AH$36,$B$5)))</f>
        <v/>
      </c>
      <c r="AI5" s="661" t="str">
        <f ca="1">IF($B$5=0,"",IF(INDEX(AI$1:AI$36,$B$5)="","",INDEX(AI$1:AI$36,$B$5)))</f>
        <v/>
      </c>
      <c r="AJ5" s="218" t="str">
        <f ca="1">IF($B$5=0,"",IF(INDEX(AJ$1:AJ$36,$B$5)="","",INDEX(AJ$1:AJ$36,$B$5)))</f>
        <v/>
      </c>
      <c r="AK5" s="651" t="str">
        <f ca="1">IF($B$5=0,"",IF(INDEX(AK$1:AK$36,$B$5)="","",IF(AND(OR($AI5="",INGVAN="",$AI5&lt;=INGVAN),OR($AI5="",INGTOT="",$AI5&lt;=INGTOT),OR($AJ5="",INGVAN="",$AJ5&gt;=INGVAN),OR($AJ5="",INGTOT="",$AJ5&gt;=INGTOT)),INDEX(AK$1:AK$36,$B$5),"")))</f>
        <v/>
      </c>
      <c r="AL5" s="223" t="str">
        <f ca="1">IF($B$5=0,"",IF(INDEX(AL$1:AL$36,$B$5)="","",IF(AND(OR($AI5="",INGVAN="",$AI5&lt;=INGVAN),OR($AI5="",INGTOT="",$AI5&lt;=INGTOT),OR($AJ5="",INGVAN="",$AJ5&gt;=INGVAN),OR($AJ5="",INGTOT="",$AJ5&gt;=INGTOT)),INDEX(AL$1:AL$36,$B$5),"")))</f>
        <v/>
      </c>
      <c r="AM5" s="224" t="str">
        <f ca="1">IF($B$5=0,"",IF(INDEX(AM$1:AM$36,$B$5)="","",IF(AND(OR($AI5="",INGVAN="",$AI5&lt;=INGVAN),OR($AI5="",INGTOT="",$AI5&lt;=INGTOT),OR($AJ5="",INGVAN="",$AJ5&gt;=INGVAN),OR($AJ5="",INGTOT="",$AJ5&gt;=INGTOT)),INDEX(AM$1:AM$36,$B$5),"")))</f>
        <v/>
      </c>
      <c r="AN5" s="226"/>
      <c r="AO5" s="855" t="str">
        <f t="shared" ref="AO5:AW5" ca="1" si="10">IF($B$5=0,"",IF(INDEX(AO$1:AO$36,$B$5)="","",INDEX(AO$1:AO$36,$B$5)))</f>
        <v/>
      </c>
      <c r="AP5" s="227" t="str">
        <f t="shared" ca="1" si="10"/>
        <v/>
      </c>
      <c r="AQ5" s="227" t="str">
        <f t="shared" ca="1" si="10"/>
        <v/>
      </c>
      <c r="AR5" s="227" t="str">
        <f t="shared" ca="1" si="10"/>
        <v/>
      </c>
      <c r="AS5" s="227" t="str">
        <f t="shared" ca="1" si="10"/>
        <v/>
      </c>
      <c r="AT5" s="227" t="str">
        <f t="shared" ca="1" si="10"/>
        <v/>
      </c>
      <c r="AU5" s="227" t="str">
        <f t="shared" ca="1" si="10"/>
        <v/>
      </c>
      <c r="AV5" s="227" t="str">
        <f t="shared" ca="1" si="10"/>
        <v/>
      </c>
      <c r="AW5" s="227" t="str">
        <f t="shared" ca="1" si="10"/>
        <v/>
      </c>
      <c r="AX5" s="228"/>
    </row>
    <row r="6" spans="1:50" ht="12" thickBot="1" x14ac:dyDescent="0.25">
      <c r="A6" s="182" t="s">
        <v>30</v>
      </c>
      <c r="B6" s="190"/>
      <c r="C6" s="191">
        <f ca="1">MAX(C8:C36)</f>
        <v>0</v>
      </c>
      <c r="D6" s="196" t="str">
        <f t="shared" ref="D6:AF6" ca="1" si="11">IF($C$6=0,"",IF(INDEX(D$1:D$36,$C$6)="","",INDEX(D$1:D$36,$C$6)))</f>
        <v/>
      </c>
      <c r="E6" s="196" t="str">
        <f t="shared" ca="1" si="11"/>
        <v/>
      </c>
      <c r="F6" s="196" t="str">
        <f t="shared" ca="1" si="11"/>
        <v/>
      </c>
      <c r="G6" s="196" t="str">
        <f t="shared" ca="1" si="11"/>
        <v/>
      </c>
      <c r="H6" s="196" t="str">
        <f t="shared" ca="1" si="11"/>
        <v/>
      </c>
      <c r="I6" s="197" t="str">
        <f t="shared" ca="1" si="11"/>
        <v/>
      </c>
      <c r="J6" s="196" t="str">
        <f t="shared" ca="1" si="11"/>
        <v/>
      </c>
      <c r="K6" s="197" t="str">
        <f t="shared" ca="1" si="11"/>
        <v/>
      </c>
      <c r="L6" s="196" t="str">
        <f t="shared" ca="1" si="11"/>
        <v/>
      </c>
      <c r="M6" s="197" t="str">
        <f t="shared" ca="1" si="11"/>
        <v/>
      </c>
      <c r="N6" s="197" t="str">
        <f t="shared" ca="1" si="11"/>
        <v/>
      </c>
      <c r="O6" s="197" t="str">
        <f t="shared" ca="1" si="11"/>
        <v/>
      </c>
      <c r="P6" s="229" t="str">
        <f t="shared" ca="1" si="11"/>
        <v/>
      </c>
      <c r="Q6" s="230" t="str">
        <f t="shared" ca="1" si="11"/>
        <v/>
      </c>
      <c r="R6" s="230" t="str">
        <f t="shared" ca="1" si="11"/>
        <v/>
      </c>
      <c r="S6" s="230" t="str">
        <f t="shared" ca="1" si="11"/>
        <v/>
      </c>
      <c r="T6" s="230" t="str">
        <f t="shared" ca="1" si="11"/>
        <v/>
      </c>
      <c r="U6" s="230" t="str">
        <f t="shared" ca="1" si="11"/>
        <v/>
      </c>
      <c r="V6" s="231" t="str">
        <f t="shared" ca="1" si="11"/>
        <v/>
      </c>
      <c r="W6" s="231" t="str">
        <f t="shared" ca="1" si="11"/>
        <v/>
      </c>
      <c r="X6" s="231" t="str">
        <f t="shared" ca="1" si="11"/>
        <v/>
      </c>
      <c r="Y6" s="232" t="str">
        <f t="shared" ca="1" si="11"/>
        <v/>
      </c>
      <c r="Z6" s="233" t="str">
        <f t="shared" ca="1" si="11"/>
        <v/>
      </c>
      <c r="AA6" s="234" t="str">
        <f t="shared" ca="1" si="11"/>
        <v/>
      </c>
      <c r="AB6" s="233" t="str">
        <f t="shared" ca="1" si="11"/>
        <v/>
      </c>
      <c r="AC6" s="235" t="str">
        <f t="shared" ca="1" si="11"/>
        <v/>
      </c>
      <c r="AD6" s="236" t="str">
        <f t="shared" ca="1" si="11"/>
        <v/>
      </c>
      <c r="AE6" s="237" t="str">
        <f t="shared" ca="1" si="11"/>
        <v/>
      </c>
      <c r="AF6" s="196" t="str">
        <f t="shared" ca="1" si="11"/>
        <v/>
      </c>
      <c r="AG6" s="238" t="str">
        <f ca="1">IF($C$6=0,"",IF(INDEX(AG$1:AG$36,$C$6)="",O2BRAND2,INDEX(AG$1:AG$36,$C$6)))</f>
        <v/>
      </c>
      <c r="AH6" s="239" t="str">
        <f ca="1">IF($C$6=0,"",IF(INDEX(AH$1:AH$36,$C$6)="","",INDEX(AH$1:AH$36,$C$6)))</f>
        <v/>
      </c>
      <c r="AI6" s="662" t="str">
        <f ca="1">IF($C$6=0,"",IF(INDEX(AI$1:AI$36,$C$6)="","",INDEX(AI$1:AI$36,$C$6)))</f>
        <v/>
      </c>
      <c r="AJ6" s="234" t="str">
        <f ca="1">IF($C$6=0,"",IF(INDEX(AJ$1:AJ$36,$C$6)="","",INDEX(AJ$1:AJ$36,$C$6)))</f>
        <v/>
      </c>
      <c r="AK6" s="672" t="str">
        <f ca="1">IF($C$6=0,"",IF(INDEX(AK$1:AK$36,$C$6)="","",IF(AND(OR($AI6="",INGVAN="",$AI6&lt;=INGVAN),OR($AI6="",INGTOT="",$AI6&lt;=INGTOT),OR($AJ6="",INGVAN="",$AJ6&gt;=INGVAN),OR($AJ6="",INGTOT="",$AJ6&gt;=INGTOT)),INDEX(AK$1:AK$36,$C$6),"")))</f>
        <v/>
      </c>
      <c r="AL6" s="238" t="str">
        <f ca="1">IF($C$6=0,"",IF(INDEX(AL$1:AL$36,$C$6)="","",IF(AND(OR($AI6="",INGVAN="",$AI6&lt;=INGVAN),OR($AI6="",INGTOT="",$AI6&lt;=INGTOT),OR($AJ6="",INGVAN="",$AJ6&gt;=INGVAN),OR($AJ6="",INGTOT="",$AJ6&gt;=INGTOT)),INDEX(AL$1:AL$36,$C$6),"")))</f>
        <v/>
      </c>
      <c r="AM6" s="673" t="str">
        <f ca="1">IF($C$6=0,"",IF(INDEX(AM$1:AM$36,$C$6)="","",IF(AND(OR($AI6="",INGVAN="",$AI6&lt;=INGVAN),OR($AI6="",INGTOT="",$AI6&lt;=INGTOT),OR($AJ6="",INGVAN="",$AJ6&gt;=INGVAN),OR($AJ6="",INGTOT="",$AJ6&gt;=INGTOT)),INDEX(AM$1:AM$36,$C$6),"")))</f>
        <v/>
      </c>
      <c r="AN6" s="240"/>
      <c r="AO6" s="856" t="str">
        <f t="shared" ref="AO6:AW6" ca="1" si="12">IF($C$6=0,"",IF(INDEX(AO$1:AO$36,$C$6)="","",INDEX(AO$1:AO$36,$C$6)))</f>
        <v/>
      </c>
      <c r="AP6" s="241" t="str">
        <f t="shared" ca="1" si="12"/>
        <v/>
      </c>
      <c r="AQ6" s="241" t="str">
        <f t="shared" ca="1" si="12"/>
        <v/>
      </c>
      <c r="AR6" s="241" t="str">
        <f t="shared" ca="1" si="12"/>
        <v/>
      </c>
      <c r="AS6" s="241" t="str">
        <f t="shared" ca="1" si="12"/>
        <v/>
      </c>
      <c r="AT6" s="241" t="str">
        <f t="shared" ca="1" si="12"/>
        <v/>
      </c>
      <c r="AU6" s="241" t="str">
        <f t="shared" ca="1" si="12"/>
        <v/>
      </c>
      <c r="AV6" s="241" t="str">
        <f t="shared" ca="1" si="12"/>
        <v/>
      </c>
      <c r="AW6" s="241" t="str">
        <f t="shared" ca="1" si="12"/>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322"/>
      <c r="AO7" s="857" t="s">
        <v>412</v>
      </c>
      <c r="AP7" s="323" t="s">
        <v>424</v>
      </c>
      <c r="AQ7" s="323" t="s">
        <v>417</v>
      </c>
      <c r="AR7" s="323" t="s">
        <v>413</v>
      </c>
      <c r="AS7" s="323"/>
      <c r="AT7" s="320"/>
      <c r="AU7" s="321"/>
      <c r="AV7" s="321"/>
      <c r="AW7" s="321"/>
      <c r="AX7" s="319"/>
    </row>
    <row r="8" spans="1:50" x14ac:dyDescent="0.2">
      <c r="A8" s="295"/>
      <c r="B8" s="339">
        <f t="shared" ref="B8:B13" ca="1" si="13">IF(AND(SUM(D8:K8,L8:M8)=COUNT(D8:K8,L8:M8),COUNT(D8:K8,L8:M8)&gt;0),ROW(B8),0)</f>
        <v>0</v>
      </c>
      <c r="C8" s="249">
        <f t="shared" ref="C8:C13" ca="1" si="14">IF(AND(SUM(D8:K8,N8:O8)=COUNT(D8:K8,N8:O8),COUNT(D8:K8,N8:O8)&gt;0),ROW(B8),0)</f>
        <v>0</v>
      </c>
      <c r="D8" s="246">
        <f ca="1">IF(AND(OR($Z8="",INGVAN="",$Z8&lt;=INGVAN),OR($Z8="",INGTOT="",$Z8&lt;=INGTOT),OR($AA8="",INGVAN="",$AA8&gt;=INGVAN),OR($AA8="",INGTOT="",$AA8&gt;=INGTOT)),1,0)</f>
        <v>1</v>
      </c>
      <c r="E8" s="247">
        <f t="shared" ref="E8:E17" ca="1" si="15">IF(AND(OR($AB8="",Tdatum&gt;=$AB8,AND(AB8&lt;&gt;"",ISNUMBER(FIND("j",LOWER(AD8))))),OR($AC8="",Tdatum&lt;=$AC8)),1,0)</f>
        <v>1</v>
      </c>
      <c r="F8" s="247">
        <f t="shared" ref="F8:F18" ca="1" si="16">IF(AND(OR($S8="",MW&gt;=$S8),OR($T8="",$T8&gt;MW)),1,0)</f>
        <v>1</v>
      </c>
      <c r="G8" s="147">
        <f ca="1">IF(Afvalvernietiging,1,0)</f>
        <v>0</v>
      </c>
      <c r="H8" s="147"/>
      <c r="I8" s="147"/>
      <c r="J8" s="147"/>
      <c r="K8" s="148"/>
      <c r="L8" s="147">
        <f ca="1">IF(OR(TBRAND1=3,AND(G8=1,N8=0)),1,0)</f>
        <v>0</v>
      </c>
      <c r="M8" s="248">
        <f t="shared" ref="M8" ca="1" si="17">IF(AND(ParBAL1&lt;&gt;"",ParBAL1=P8),1,0)</f>
        <v>0</v>
      </c>
      <c r="N8" s="147">
        <f ca="1">IF(TBRAND2=3,1,0)</f>
        <v>0</v>
      </c>
      <c r="O8" s="249">
        <f t="shared" ref="O8" ca="1" si="18">IF(AND(ParBAL2&lt;&gt;"",ParBAL2=P8),1,0)</f>
        <v>0</v>
      </c>
      <c r="P8" s="279" t="s">
        <v>39</v>
      </c>
      <c r="Q8" s="149" t="s">
        <v>48</v>
      </c>
      <c r="R8" s="149" t="s">
        <v>265</v>
      </c>
      <c r="S8" s="149"/>
      <c r="T8" s="149"/>
      <c r="U8" s="150"/>
      <c r="V8" s="150"/>
      <c r="W8" s="150"/>
      <c r="X8" s="150"/>
      <c r="Y8" s="151"/>
      <c r="Z8" s="143"/>
      <c r="AA8" s="144"/>
      <c r="AB8" s="143"/>
      <c r="AC8" s="145"/>
      <c r="AD8" s="146"/>
      <c r="AE8" s="276" t="s">
        <v>121</v>
      </c>
      <c r="AF8" s="152" t="s">
        <v>401</v>
      </c>
      <c r="AG8" s="147"/>
      <c r="AH8" s="636"/>
      <c r="AI8" s="645"/>
      <c r="AJ8" s="269"/>
      <c r="AK8" s="626"/>
      <c r="AL8" s="147"/>
      <c r="AM8" s="655"/>
      <c r="AN8" s="324"/>
      <c r="AO8" s="349" t="str">
        <f>AO$7</f>
        <v>Er geldt een continue meetverplichting (art 4.79).</v>
      </c>
      <c r="AP8" s="325" t="str">
        <f t="shared" ref="AP8:AR13" si="19">AP$7</f>
        <v>De kwaliteitsborging van het continue meetsysteem vindt plaats volgen NEN-EN 14181 (art. 4.78). Onder de voorwaarden van art. 4.79 1e lid onder c zijn halfjaarlijkse periodieke metingen door een geaccrediteerd laboratorium volgens NEN-EN 13211 toegestaan (art. 4.78 en 4.84).</v>
      </c>
      <c r="AQ8" s="325" t="str">
        <f t="shared" si="19"/>
        <v>De aangetoonde meetonzekerheid mag niet groter zijn dan 40% van de emissie-eis of 4 ug/Nm3 (art. 4.88).</v>
      </c>
      <c r="AR8" s="325"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8" s="325"/>
      <c r="AT8" s="149"/>
      <c r="AU8" s="150"/>
      <c r="AV8" s="150"/>
      <c r="AW8" s="150"/>
      <c r="AX8" s="151"/>
    </row>
    <row r="9" spans="1:50" x14ac:dyDescent="0.2">
      <c r="A9" s="295"/>
      <c r="B9" s="339">
        <f t="shared" ca="1" si="13"/>
        <v>0</v>
      </c>
      <c r="C9" s="249">
        <f t="shared" ca="1" si="14"/>
        <v>0</v>
      </c>
      <c r="D9" s="246">
        <f ca="1">IF(AND(OR($Z9="",INGVAN="",$Z9&lt;=INGVAN),OR($Z9="",INGTOT="",$Z9&lt;=INGTOT),OR($AA9="",INGVAN="",$AA9&gt;=INGVAN),OR($AA9="",INGTOT="",$AA9&gt;=INGTOT)),1,0)</f>
        <v>1</v>
      </c>
      <c r="E9" s="247">
        <f t="shared" ca="1" si="15"/>
        <v>1</v>
      </c>
      <c r="F9" s="247">
        <f t="shared" ca="1" si="16"/>
        <v>1</v>
      </c>
      <c r="G9" s="147">
        <f ca="1">IF(EnergieUitAfval,1,0)</f>
        <v>0</v>
      </c>
      <c r="H9" s="147"/>
      <c r="I9" s="147"/>
      <c r="J9" s="147"/>
      <c r="K9" s="148"/>
      <c r="L9" s="147">
        <f ca="1">IF(TBRAND1=3,1,0)</f>
        <v>0</v>
      </c>
      <c r="M9" s="248">
        <f t="shared" ref="M9:M17" ca="1" si="20">IF(AND(ParBAL1&lt;&gt;"",ParBAL1=P9),1,0)</f>
        <v>0</v>
      </c>
      <c r="N9" s="147">
        <f ca="1">IF(TBRAND2=3,1,0)</f>
        <v>0</v>
      </c>
      <c r="O9" s="249">
        <f t="shared" ref="O9:O17" ca="1" si="21">IF(AND(ParBAL2&lt;&gt;"",ParBAL2=P9),1,0)</f>
        <v>0</v>
      </c>
      <c r="P9" s="279" t="s">
        <v>39</v>
      </c>
      <c r="Q9" s="149" t="s">
        <v>266</v>
      </c>
      <c r="R9" s="149" t="s">
        <v>46</v>
      </c>
      <c r="S9" s="149"/>
      <c r="T9" s="149"/>
      <c r="U9" s="150"/>
      <c r="V9" s="150"/>
      <c r="W9" s="150"/>
      <c r="X9" s="150"/>
      <c r="Y9" s="151"/>
      <c r="Z9" s="143"/>
      <c r="AA9" s="144"/>
      <c r="AB9" s="143"/>
      <c r="AC9" s="145"/>
      <c r="AD9" s="146"/>
      <c r="AE9" s="276" t="s">
        <v>416</v>
      </c>
      <c r="AF9" s="152" t="s">
        <v>401</v>
      </c>
      <c r="AG9" s="147">
        <v>6</v>
      </c>
      <c r="AH9" s="636"/>
      <c r="AI9" s="645"/>
      <c r="AJ9" s="269"/>
      <c r="AK9" s="626"/>
      <c r="AL9" s="147"/>
      <c r="AM9" s="655"/>
      <c r="AN9" s="324"/>
      <c r="AO9" s="349" t="str">
        <f t="shared" ref="AO9:AO13" si="22">AO$7</f>
        <v>Er geldt een continue meetverplichting (art 4.79).</v>
      </c>
      <c r="AP9" s="325"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9" s="325" t="str">
        <f t="shared" si="19"/>
        <v>De aangetoonde meetonzekerheid mag niet groter zijn dan 40% van de emissie-eis of 4 ug/Nm3 (art. 4.88).</v>
      </c>
      <c r="AR9" s="325"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9" s="325"/>
      <c r="AT9" s="155"/>
      <c r="AU9" s="157"/>
      <c r="AV9" s="157"/>
      <c r="AW9" s="157"/>
      <c r="AX9" s="158"/>
    </row>
    <row r="10" spans="1:50" x14ac:dyDescent="0.2">
      <c r="A10" s="295"/>
      <c r="B10" s="339">
        <f t="shared" ca="1" si="13"/>
        <v>0</v>
      </c>
      <c r="C10" s="249">
        <f t="shared" ca="1" si="14"/>
        <v>0</v>
      </c>
      <c r="D10" s="246">
        <f ca="1">IF(AND(OR($Z10="",INGVAN="",$Z10&lt;=INGVAN),OR($Z10="",INGTOT="",$Z10&lt;=INGTOT),OR($AA10="",INGVAN="",$AA10&gt;=INGVAN),OR($AA10="",INGTOT="",$AA10&gt;=INGTOT)),1,0)</f>
        <v>1</v>
      </c>
      <c r="E10" s="247">
        <f t="shared" ca="1" si="15"/>
        <v>1</v>
      </c>
      <c r="F10" s="247">
        <f t="shared" ca="1" si="16"/>
        <v>1</v>
      </c>
      <c r="G10" s="147">
        <f ca="1">IF(SI=17,1,0)</f>
        <v>0</v>
      </c>
      <c r="H10" s="148"/>
      <c r="I10" s="147"/>
      <c r="J10" s="159"/>
      <c r="K10" s="148"/>
      <c r="L10" s="147">
        <f ca="1">IF(TBRAND1=3,1,0)</f>
        <v>0</v>
      </c>
      <c r="M10" s="248">
        <f t="shared" ca="1" si="20"/>
        <v>0</v>
      </c>
      <c r="N10" s="147">
        <f ca="1">IF(TBRAND2=3,1,0)</f>
        <v>0</v>
      </c>
      <c r="O10" s="249">
        <f t="shared" ca="1" si="21"/>
        <v>0</v>
      </c>
      <c r="P10" s="279" t="s">
        <v>39</v>
      </c>
      <c r="Q10" s="160" t="s">
        <v>128</v>
      </c>
      <c r="R10" s="149"/>
      <c r="S10" s="149"/>
      <c r="T10" s="149"/>
      <c r="U10" s="150"/>
      <c r="V10" s="150"/>
      <c r="W10" s="150"/>
      <c r="X10" s="150"/>
      <c r="Y10" s="151"/>
      <c r="Z10" s="143"/>
      <c r="AA10" s="144"/>
      <c r="AB10" s="143"/>
      <c r="AC10" s="145"/>
      <c r="AD10" s="146"/>
      <c r="AE10" s="276" t="s">
        <v>130</v>
      </c>
      <c r="AF10" s="152" t="s">
        <v>160</v>
      </c>
      <c r="AG10" s="147"/>
      <c r="AH10" s="636"/>
      <c r="AI10" s="645"/>
      <c r="AJ10" s="269"/>
      <c r="AK10" s="626"/>
      <c r="AL10" s="147"/>
      <c r="AM10" s="655"/>
      <c r="AN10" s="324"/>
      <c r="AO10" s="349" t="str">
        <f t="shared" si="22"/>
        <v>Er geldt een continue meetverplichting (art 4.79).</v>
      </c>
      <c r="AP10" s="325"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10" s="325" t="str">
        <f t="shared" si="19"/>
        <v>De aangetoonde meetonzekerheid mag niet groter zijn dan 40% van de emissie-eis of 4 ug/Nm3 (art. 4.88).</v>
      </c>
      <c r="AR10" s="325"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10" s="325"/>
      <c r="AT10" s="155"/>
      <c r="AU10" s="157"/>
      <c r="AV10" s="157"/>
      <c r="AW10" s="157"/>
      <c r="AX10" s="151"/>
    </row>
    <row r="11" spans="1:50" x14ac:dyDescent="0.2">
      <c r="A11" s="295"/>
      <c r="B11" s="340"/>
      <c r="C11" s="341"/>
      <c r="D11" s="326"/>
      <c r="E11" s="46"/>
      <c r="F11" s="46"/>
      <c r="G11" s="147"/>
      <c r="H11" s="147"/>
      <c r="I11" s="148"/>
      <c r="J11" s="147"/>
      <c r="K11" s="148"/>
      <c r="L11" s="147"/>
      <c r="M11" s="56"/>
      <c r="N11" s="147"/>
      <c r="O11" s="59"/>
      <c r="P11" s="279"/>
      <c r="Q11" s="160"/>
      <c r="R11" s="149"/>
      <c r="S11" s="149"/>
      <c r="T11" s="149"/>
      <c r="U11" s="150"/>
      <c r="V11" s="150"/>
      <c r="W11" s="150"/>
      <c r="X11" s="150"/>
      <c r="Y11" s="151"/>
      <c r="Z11" s="143"/>
      <c r="AA11" s="144"/>
      <c r="AB11" s="143"/>
      <c r="AC11" s="145"/>
      <c r="AD11" s="146"/>
      <c r="AE11" s="276"/>
      <c r="AF11" s="152"/>
      <c r="AG11" s="147"/>
      <c r="AH11" s="636"/>
      <c r="AI11" s="645"/>
      <c r="AJ11" s="269"/>
      <c r="AK11" s="626"/>
      <c r="AL11" s="147"/>
      <c r="AM11" s="655"/>
      <c r="AN11" s="683"/>
      <c r="AO11" s="685"/>
      <c r="AP11" s="684"/>
      <c r="AQ11" s="684"/>
      <c r="AR11" s="684"/>
      <c r="AS11" s="149"/>
      <c r="AT11" s="155"/>
      <c r="AU11" s="157"/>
      <c r="AV11" s="157"/>
      <c r="AW11" s="157"/>
      <c r="AX11" s="151"/>
    </row>
    <row r="12" spans="1:50" x14ac:dyDescent="0.2">
      <c r="A12" s="363" t="s">
        <v>337</v>
      </c>
      <c r="B12" s="364"/>
      <c r="C12" s="365"/>
      <c r="D12" s="366"/>
      <c r="E12" s="367"/>
      <c r="F12" s="367"/>
      <c r="G12" s="368"/>
      <c r="H12" s="368"/>
      <c r="I12" s="369"/>
      <c r="J12" s="368"/>
      <c r="K12" s="369"/>
      <c r="L12" s="368"/>
      <c r="M12" s="370"/>
      <c r="N12" s="368"/>
      <c r="O12" s="371"/>
      <c r="P12" s="372"/>
      <c r="Q12" s="373"/>
      <c r="R12" s="374"/>
      <c r="S12" s="374"/>
      <c r="T12" s="374"/>
      <c r="U12" s="375"/>
      <c r="V12" s="375"/>
      <c r="W12" s="375"/>
      <c r="X12" s="375"/>
      <c r="Y12" s="376"/>
      <c r="Z12" s="377"/>
      <c r="AA12" s="378"/>
      <c r="AB12" s="377"/>
      <c r="AC12" s="379"/>
      <c r="AD12" s="380"/>
      <c r="AE12" s="381"/>
      <c r="AF12" s="382"/>
      <c r="AG12" s="368"/>
      <c r="AH12" s="637"/>
      <c r="AI12" s="646"/>
      <c r="AJ12" s="383"/>
      <c r="AK12" s="627"/>
      <c r="AL12" s="368"/>
      <c r="AM12" s="656"/>
      <c r="AN12" s="332"/>
      <c r="AO12" s="859" t="s">
        <v>412</v>
      </c>
      <c r="AP12" s="333" t="s">
        <v>424</v>
      </c>
      <c r="AQ12" s="333" t="s">
        <v>417</v>
      </c>
      <c r="AR12" s="333" t="s">
        <v>413</v>
      </c>
      <c r="AS12" s="346"/>
      <c r="AT12" s="336"/>
      <c r="AU12" s="337"/>
      <c r="AV12" s="337"/>
      <c r="AW12" s="337"/>
      <c r="AX12" s="335"/>
    </row>
    <row r="13" spans="1:50" x14ac:dyDescent="0.2">
      <c r="A13" s="296"/>
      <c r="B13" s="339">
        <f t="shared" ca="1" si="13"/>
        <v>0</v>
      </c>
      <c r="C13" s="249">
        <f t="shared" ca="1" si="14"/>
        <v>0</v>
      </c>
      <c r="D13" s="246">
        <f ca="1">IF(AND(OR($Z13="",INGVAN="",$Z13&lt;=INGVAN),OR($Z13="",INGTOT="",$Z13&lt;=INGTOT),OR($AA13="",INGVAN="",$AA13&gt;=INGVAN),OR($AA13="",INGTOT="",$AA13&gt;=INGTOT)),1,0)</f>
        <v>1</v>
      </c>
      <c r="E13" s="247">
        <f t="shared" ca="1" si="15"/>
        <v>0</v>
      </c>
      <c r="F13" s="247">
        <f t="shared" ca="1" si="16"/>
        <v>1</v>
      </c>
      <c r="G13" s="147">
        <f ca="1">IF(AND(SI&lt;&gt;17,OR(ParBAL1="4.4",ParBAL2="4.4")),1,0)</f>
        <v>0</v>
      </c>
      <c r="H13" s="147"/>
      <c r="I13" s="148"/>
      <c r="J13" s="147"/>
      <c r="K13" s="148"/>
      <c r="L13" s="147">
        <f ca="1">IF(OR(TBRAND1=3,AND(G13=1,N13=0)),1,0)</f>
        <v>0</v>
      </c>
      <c r="M13" s="248">
        <f t="shared" ref="M13" ca="1" si="23">IF(AND(ParBAL1&lt;&gt;"",ParBAL1=P13),1,0)</f>
        <v>0</v>
      </c>
      <c r="N13" s="147">
        <f ca="1">IF(TBRAND2=3,1,0)</f>
        <v>0</v>
      </c>
      <c r="O13" s="249">
        <f t="shared" ref="O13" ca="1" si="24">IF(AND(ParBAL2&lt;&gt;"",ParBAL2=P13),1,0)</f>
        <v>0</v>
      </c>
      <c r="P13" s="291" t="s">
        <v>39</v>
      </c>
      <c r="Q13" s="160" t="s">
        <v>267</v>
      </c>
      <c r="R13" s="149"/>
      <c r="S13" s="149"/>
      <c r="T13" s="149"/>
      <c r="U13" s="150"/>
      <c r="V13" s="150"/>
      <c r="W13" s="150"/>
      <c r="X13" s="150"/>
      <c r="Y13" s="151"/>
      <c r="Z13" s="143"/>
      <c r="AA13" s="144">
        <f>IWTBAL-1</f>
        <v>45291</v>
      </c>
      <c r="AB13" s="143"/>
      <c r="AC13" s="145">
        <v>45241</v>
      </c>
      <c r="AD13" s="146"/>
      <c r="AE13" s="276" t="s">
        <v>124</v>
      </c>
      <c r="AF13" s="152" t="s">
        <v>160</v>
      </c>
      <c r="AG13" s="147"/>
      <c r="AH13" s="636"/>
      <c r="AI13" s="645"/>
      <c r="AJ13" s="269"/>
      <c r="AK13" s="626"/>
      <c r="AL13" s="147"/>
      <c r="AM13" s="655"/>
      <c r="AN13" s="324"/>
      <c r="AO13" s="349" t="str">
        <f t="shared" si="22"/>
        <v>Er geldt een continue meetverplichting (art 4.79).</v>
      </c>
      <c r="AP13" s="325"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13" s="325" t="str">
        <f t="shared" si="19"/>
        <v>De aangetoonde meetonzekerheid mag niet groter zijn dan 40% van de emissie-eis of 4 ug/Nm3 (art. 4.88).</v>
      </c>
      <c r="AR13" s="325"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13" s="325"/>
      <c r="AT13" s="155"/>
      <c r="AU13" s="157"/>
      <c r="AV13" s="157"/>
      <c r="AW13" s="157"/>
      <c r="AX13" s="151"/>
    </row>
    <row r="14" spans="1:50" x14ac:dyDescent="0.2">
      <c r="A14" s="584"/>
      <c r="B14" s="585"/>
      <c r="C14" s="586"/>
      <c r="D14" s="587"/>
      <c r="E14" s="588"/>
      <c r="F14" s="588"/>
      <c r="G14" s="589"/>
      <c r="H14" s="589"/>
      <c r="I14" s="590"/>
      <c r="J14" s="589"/>
      <c r="K14" s="590"/>
      <c r="L14" s="589"/>
      <c r="M14" s="591"/>
      <c r="N14" s="589"/>
      <c r="O14" s="592"/>
      <c r="P14" s="593"/>
      <c r="Q14" s="594"/>
      <c r="R14" s="595"/>
      <c r="S14" s="595"/>
      <c r="T14" s="595"/>
      <c r="U14" s="596"/>
      <c r="V14" s="596"/>
      <c r="W14" s="596"/>
      <c r="X14" s="596"/>
      <c r="Y14" s="597"/>
      <c r="Z14" s="598"/>
      <c r="AA14" s="599"/>
      <c r="AB14" s="598"/>
      <c r="AC14" s="600"/>
      <c r="AD14" s="601"/>
      <c r="AE14" s="602"/>
      <c r="AF14" s="603"/>
      <c r="AG14" s="589"/>
      <c r="AH14" s="638"/>
      <c r="AI14" s="647"/>
      <c r="AJ14" s="604"/>
      <c r="AK14" s="628"/>
      <c r="AL14" s="589"/>
      <c r="AM14" s="657"/>
      <c r="AN14" s="605"/>
      <c r="AO14" s="858"/>
      <c r="AP14" s="606"/>
      <c r="AQ14" s="606"/>
      <c r="AR14" s="606"/>
      <c r="AS14" s="595"/>
      <c r="AT14" s="606"/>
      <c r="AU14" s="607"/>
      <c r="AV14" s="607"/>
      <c r="AW14" s="607"/>
      <c r="AX14" s="597"/>
    </row>
    <row r="15" spans="1:50" x14ac:dyDescent="0.2">
      <c r="A15" s="393" t="s">
        <v>294</v>
      </c>
      <c r="B15" s="394"/>
      <c r="C15" s="395"/>
      <c r="D15" s="396"/>
      <c r="E15" s="397"/>
      <c r="F15" s="397"/>
      <c r="G15" s="398"/>
      <c r="H15" s="398"/>
      <c r="I15" s="399"/>
      <c r="J15" s="398"/>
      <c r="K15" s="399"/>
      <c r="L15" s="398"/>
      <c r="M15" s="400"/>
      <c r="N15" s="398"/>
      <c r="O15" s="401"/>
      <c r="P15" s="402"/>
      <c r="Q15" s="403"/>
      <c r="R15" s="404"/>
      <c r="S15" s="404"/>
      <c r="T15" s="404"/>
      <c r="U15" s="405"/>
      <c r="V15" s="405"/>
      <c r="W15" s="405"/>
      <c r="X15" s="405"/>
      <c r="Y15" s="406"/>
      <c r="Z15" s="407"/>
      <c r="AA15" s="408"/>
      <c r="AB15" s="407"/>
      <c r="AC15" s="409"/>
      <c r="AD15" s="410"/>
      <c r="AE15" s="411"/>
      <c r="AF15" s="412"/>
      <c r="AG15" s="398"/>
      <c r="AH15" s="639"/>
      <c r="AI15" s="648"/>
      <c r="AJ15" s="413"/>
      <c r="AK15" s="629"/>
      <c r="AL15" s="398"/>
      <c r="AM15" s="658"/>
      <c r="AN15" s="332"/>
      <c r="AO15" s="859" t="s">
        <v>425</v>
      </c>
      <c r="AP15" s="333" t="s">
        <v>428</v>
      </c>
      <c r="AQ15" s="333"/>
      <c r="AR15" s="333" t="s">
        <v>410</v>
      </c>
      <c r="AS15" s="333"/>
      <c r="AT15" s="330"/>
      <c r="AU15" s="331"/>
      <c r="AV15" s="331"/>
      <c r="AW15" s="331"/>
      <c r="AX15" s="328"/>
    </row>
    <row r="16" spans="1:50" x14ac:dyDescent="0.2">
      <c r="A16" s="295"/>
      <c r="B16" s="339">
        <f t="shared" ref="B16:B17" ca="1" si="25">IF(AND(SUM(D16:K16,L16:M16)=COUNT(D16:K16,L16:M16),COUNT(D16:K16,L16:M16)&gt;0),ROW(B16),0)</f>
        <v>0</v>
      </c>
      <c r="C16" s="249">
        <f t="shared" ref="C16:C17" ca="1" si="26">IF(AND(SUM(D16:K16,N16:O16)=COUNT(D16:K16,N16:O16),COUNT(D16:K16,N16:O16)&gt;0),ROW(B16),0)</f>
        <v>0</v>
      </c>
      <c r="D16" s="246">
        <f t="shared" ref="D16:D18" ca="1" si="27">IF(AND(OR($Z16="",INGVAN="",$Z16&lt;=INGVAN),OR($Z16="",INGTOT="",$Z16&lt;=INGTOT),OR($AA16="",INGVAN="",$AA16&gt;=INGVAN),OR($AA16="",INGTOT="",$AA16&gt;=INGTOT)),1,0)</f>
        <v>1</v>
      </c>
      <c r="E16" s="247">
        <f t="shared" ca="1" si="15"/>
        <v>1</v>
      </c>
      <c r="F16" s="247">
        <f t="shared" ca="1" si="16"/>
        <v>1</v>
      </c>
      <c r="G16" s="147">
        <f ca="1">IF(EnergieUitAfval,0,1)</f>
        <v>1</v>
      </c>
      <c r="H16" s="147"/>
      <c r="I16" s="148"/>
      <c r="J16" s="147"/>
      <c r="K16" s="148"/>
      <c r="L16" s="147">
        <f ca="1">IF(OR(BRAND1=9,BRAND1=10),1,0)</f>
        <v>0</v>
      </c>
      <c r="M16" s="248">
        <f t="shared" ca="1" si="20"/>
        <v>0</v>
      </c>
      <c r="N16" s="147">
        <f ca="1">IF(AND(ABRAND2&gt;0,OR(BRAND2=9,BRAND2=10)),1,0)</f>
        <v>0</v>
      </c>
      <c r="O16" s="249">
        <f t="shared" ca="1" si="21"/>
        <v>0</v>
      </c>
      <c r="P16" s="279" t="s">
        <v>40</v>
      </c>
      <c r="Q16" s="149" t="s">
        <v>420</v>
      </c>
      <c r="R16" s="149" t="s">
        <v>418</v>
      </c>
      <c r="S16" s="149"/>
      <c r="T16" s="149"/>
      <c r="U16" s="150"/>
      <c r="V16" s="150"/>
      <c r="W16" s="150"/>
      <c r="X16" s="150"/>
      <c r="Y16" s="151"/>
      <c r="Z16" s="143"/>
      <c r="AA16" s="144"/>
      <c r="AB16" s="143"/>
      <c r="AC16" s="145"/>
      <c r="AD16" s="146"/>
      <c r="AE16" s="276" t="s">
        <v>409</v>
      </c>
      <c r="AF16" s="152" t="s">
        <v>372</v>
      </c>
      <c r="AG16" s="147"/>
      <c r="AH16" s="636"/>
      <c r="AI16" s="645"/>
      <c r="AJ16" s="269"/>
      <c r="AK16" s="626"/>
      <c r="AL16" s="147"/>
      <c r="AM16" s="655"/>
      <c r="AN16" s="347"/>
      <c r="AO16" s="860" t="str">
        <f t="shared" ref="AO16:AR18" si="28">AO$15</f>
        <v>Er geldt een halfjaarlijkse periodiek meetverplichting (art 4.41a).</v>
      </c>
      <c r="AP16" s="325" t="str">
        <f t="shared" si="28"/>
        <v xml:space="preserve">Een periodieke meting bestaat uit drie deelmetingen van ten minste 30 minuten. De metingen worden uitgevoerd door een geaccrediteerd laboratorium volgens NEN-EN 13211 (art. 4.40 en 4.48). </v>
      </c>
      <c r="AQ16" s="325"/>
      <c r="AR16" s="325"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6" s="348"/>
      <c r="AT16" s="149"/>
      <c r="AU16" s="150"/>
      <c r="AV16" s="150"/>
      <c r="AW16" s="150"/>
      <c r="AX16" s="151"/>
    </row>
    <row r="17" spans="1:50" x14ac:dyDescent="0.2">
      <c r="A17" s="295"/>
      <c r="B17" s="339">
        <f t="shared" ca="1" si="25"/>
        <v>0</v>
      </c>
      <c r="C17" s="249">
        <f t="shared" ca="1" si="26"/>
        <v>0</v>
      </c>
      <c r="D17" s="246">
        <f t="shared" ca="1" si="27"/>
        <v>0</v>
      </c>
      <c r="E17" s="247">
        <f t="shared" ca="1" si="15"/>
        <v>1</v>
      </c>
      <c r="F17" s="247">
        <f t="shared" ca="1" si="16"/>
        <v>1</v>
      </c>
      <c r="G17" s="147">
        <f ca="1">IF(EnergieUitAfval,0,1)</f>
        <v>1</v>
      </c>
      <c r="H17" s="147"/>
      <c r="I17" s="148"/>
      <c r="J17" s="147"/>
      <c r="K17" s="148"/>
      <c r="L17" s="147">
        <f ca="1">IF(OR(BRAND1=9,BRAND1=10),0,IF(FBRAND1="s",1,0))</f>
        <v>0</v>
      </c>
      <c r="M17" s="248">
        <f t="shared" ca="1" si="20"/>
        <v>0</v>
      </c>
      <c r="N17" s="147">
        <f ca="1">IF(OR(ABRAND2=0,BRAND2=9,BRAND2=10),0,IF(FBRAND2="s",1,0))</f>
        <v>0</v>
      </c>
      <c r="O17" s="249">
        <f t="shared" ca="1" si="21"/>
        <v>0</v>
      </c>
      <c r="P17" s="279" t="s">
        <v>40</v>
      </c>
      <c r="Q17" s="149" t="s">
        <v>421</v>
      </c>
      <c r="R17" s="149" t="s">
        <v>419</v>
      </c>
      <c r="S17" s="149"/>
      <c r="T17" s="149"/>
      <c r="U17" s="150"/>
      <c r="V17" s="150"/>
      <c r="W17" s="150"/>
      <c r="X17" s="150"/>
      <c r="Y17" s="151"/>
      <c r="Z17" s="143"/>
      <c r="AA17" s="144">
        <f>IPPCbest</f>
        <v>36463</v>
      </c>
      <c r="AB17" s="143"/>
      <c r="AC17" s="145"/>
      <c r="AD17" s="146"/>
      <c r="AE17" s="276" t="s">
        <v>409</v>
      </c>
      <c r="AF17" s="152" t="s">
        <v>422</v>
      </c>
      <c r="AG17" s="147"/>
      <c r="AH17" s="636"/>
      <c r="AI17" s="645"/>
      <c r="AJ17" s="269"/>
      <c r="AK17" s="626"/>
      <c r="AL17" s="147"/>
      <c r="AM17" s="655"/>
      <c r="AN17" s="324"/>
      <c r="AO17" s="349" t="str">
        <f t="shared" si="28"/>
        <v>Er geldt een halfjaarlijkse periodiek meetverplichting (art 4.41a).</v>
      </c>
      <c r="AP17" s="325" t="str">
        <f t="shared" si="28"/>
        <v xml:space="preserve">Een periodieke meting bestaat uit drie deelmetingen van ten minste 30 minuten. De metingen worden uitgevoerd door een geaccrediteerd laboratorium volgens NEN-EN 13211 (art. 4.40 en 4.48). </v>
      </c>
      <c r="AQ17" s="325"/>
      <c r="AR17" s="325"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7" s="325"/>
      <c r="AT17" s="149"/>
      <c r="AU17" s="150"/>
      <c r="AV17" s="150"/>
      <c r="AW17" s="150"/>
      <c r="AX17" s="158"/>
    </row>
    <row r="18" spans="1:50" x14ac:dyDescent="0.2">
      <c r="A18" s="295"/>
      <c r="B18" s="339">
        <f t="shared" ref="B18" ca="1" si="29">IF(AND(SUM(D18:K18,L18:M18)=COUNT(D18:K18,L18:M18),COUNT(D18:K18,L18:M18)&gt;0),ROW(B18),0)</f>
        <v>0</v>
      </c>
      <c r="C18" s="249">
        <f t="shared" ref="C18" ca="1" si="30">IF(AND(SUM(D18:K18,N18:O18)=COUNT(D18:K18,N18:O18),COUNT(D18:K18,N18:O18)&gt;0),ROW(B18),0)</f>
        <v>0</v>
      </c>
      <c r="D18" s="246">
        <f t="shared" ca="1" si="27"/>
        <v>1</v>
      </c>
      <c r="E18" s="247">
        <f t="shared" ref="E18" ca="1" si="31">IF(AND(OR($AB18="",Tdatum&gt;=$AB18,AND(AB18&lt;&gt;"",ISNUMBER(FIND("j",LOWER(AD18))))),OR($AC18="",Tdatum&lt;=$AC18)),1,0)</f>
        <v>1</v>
      </c>
      <c r="F18" s="247">
        <f t="shared" ca="1" si="16"/>
        <v>1</v>
      </c>
      <c r="G18" s="147">
        <f ca="1">IF(EnergieUitAfval,0,1)</f>
        <v>1</v>
      </c>
      <c r="H18" s="147"/>
      <c r="I18" s="148"/>
      <c r="J18" s="147"/>
      <c r="K18" s="148"/>
      <c r="L18" s="147">
        <f ca="1">IF(OR(BRAND1=9,BRAND1=10),0,IF(FBRAND1="s",1,0))</f>
        <v>0</v>
      </c>
      <c r="M18" s="248">
        <f t="shared" ref="M18" ca="1" si="32">IF(AND(ParBAL1&lt;&gt;"",ParBAL1=P18),1,0)</f>
        <v>0</v>
      </c>
      <c r="N18" s="147">
        <f ca="1">IF(OR(ABRAND2=0,BRAND2=9,BRAND2=10),0,IF(FBRAND2="s",1,0))</f>
        <v>0</v>
      </c>
      <c r="O18" s="249">
        <f t="shared" ref="O18" ca="1" si="33">IF(AND(ParBAL2&lt;&gt;"",ParBAL2=P18),1,0)</f>
        <v>0</v>
      </c>
      <c r="P18" s="279" t="s">
        <v>40</v>
      </c>
      <c r="Q18" s="149" t="s">
        <v>420</v>
      </c>
      <c r="R18" s="149" t="s">
        <v>419</v>
      </c>
      <c r="S18" s="149"/>
      <c r="T18" s="149"/>
      <c r="U18" s="150"/>
      <c r="V18" s="150"/>
      <c r="W18" s="150"/>
      <c r="X18" s="150"/>
      <c r="Y18" s="151"/>
      <c r="Z18" s="143">
        <f>IPPCbest</f>
        <v>36463</v>
      </c>
      <c r="AA18" s="144"/>
      <c r="AB18" s="143"/>
      <c r="AC18" s="145"/>
      <c r="AD18" s="146"/>
      <c r="AE18" s="276" t="s">
        <v>409</v>
      </c>
      <c r="AF18" s="152" t="s">
        <v>423</v>
      </c>
      <c r="AG18" s="147"/>
      <c r="AH18" s="636"/>
      <c r="AI18" s="645"/>
      <c r="AJ18" s="269"/>
      <c r="AK18" s="626"/>
      <c r="AL18" s="147"/>
      <c r="AM18" s="655"/>
      <c r="AN18" s="324"/>
      <c r="AO18" s="349" t="str">
        <f t="shared" si="28"/>
        <v>Er geldt een halfjaarlijkse periodiek meetverplichting (art 4.41a).</v>
      </c>
      <c r="AP18" s="325" t="str">
        <f t="shared" si="28"/>
        <v xml:space="preserve">Een periodieke meting bestaat uit drie deelmetingen van ten minste 30 minuten. De metingen worden uitgevoerd door een geaccrediteerd laboratorium volgens NEN-EN 13211 (art. 4.40 en 4.48). </v>
      </c>
      <c r="AQ18" s="325"/>
      <c r="AR18" s="325"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8" s="325"/>
      <c r="AT18" s="149"/>
      <c r="AU18" s="150"/>
      <c r="AV18" s="150"/>
      <c r="AW18" s="150"/>
      <c r="AX18" s="158"/>
    </row>
    <row r="19" spans="1:50" x14ac:dyDescent="0.2">
      <c r="A19" s="295"/>
      <c r="B19" s="340"/>
      <c r="C19" s="341"/>
      <c r="D19" s="326"/>
      <c r="E19" s="46"/>
      <c r="F19" s="46"/>
      <c r="G19" s="147"/>
      <c r="H19" s="147"/>
      <c r="I19" s="148"/>
      <c r="J19" s="147"/>
      <c r="K19" s="148"/>
      <c r="L19" s="147"/>
      <c r="M19" s="56"/>
      <c r="N19" s="147"/>
      <c r="O19" s="59"/>
      <c r="P19" s="279"/>
      <c r="Q19" s="160"/>
      <c r="R19" s="149"/>
      <c r="S19" s="149"/>
      <c r="T19" s="149"/>
      <c r="U19" s="150"/>
      <c r="V19" s="150"/>
      <c r="W19" s="150"/>
      <c r="X19" s="150"/>
      <c r="Y19" s="151"/>
      <c r="Z19" s="143"/>
      <c r="AA19" s="144"/>
      <c r="AB19" s="143"/>
      <c r="AC19" s="145"/>
      <c r="AD19" s="146"/>
      <c r="AE19" s="276"/>
      <c r="AF19" s="152"/>
      <c r="AG19" s="147"/>
      <c r="AH19" s="636"/>
      <c r="AI19" s="645"/>
      <c r="AJ19" s="269"/>
      <c r="AK19" s="626"/>
      <c r="AL19" s="147"/>
      <c r="AM19" s="655"/>
      <c r="AN19" s="154"/>
      <c r="AO19" s="156"/>
      <c r="AP19" s="155"/>
      <c r="AQ19" s="155"/>
      <c r="AR19" s="155"/>
      <c r="AS19" s="149"/>
      <c r="AT19" s="155"/>
      <c r="AU19" s="157"/>
      <c r="AV19" s="157"/>
      <c r="AW19" s="157"/>
      <c r="AX19" s="151"/>
    </row>
    <row r="20" spans="1:50" x14ac:dyDescent="0.2">
      <c r="A20" s="363" t="s">
        <v>338</v>
      </c>
      <c r="B20" s="364"/>
      <c r="C20" s="365"/>
      <c r="D20" s="366"/>
      <c r="E20" s="367"/>
      <c r="F20" s="367"/>
      <c r="G20" s="368"/>
      <c r="H20" s="368"/>
      <c r="I20" s="369"/>
      <c r="J20" s="368"/>
      <c r="K20" s="369"/>
      <c r="L20" s="368"/>
      <c r="M20" s="370"/>
      <c r="N20" s="368"/>
      <c r="O20" s="371"/>
      <c r="P20" s="372"/>
      <c r="Q20" s="373"/>
      <c r="R20" s="374"/>
      <c r="S20" s="374"/>
      <c r="T20" s="374"/>
      <c r="U20" s="375"/>
      <c r="V20" s="375"/>
      <c r="W20" s="375"/>
      <c r="X20" s="375"/>
      <c r="Y20" s="376"/>
      <c r="Z20" s="377"/>
      <c r="AA20" s="378"/>
      <c r="AB20" s="377"/>
      <c r="AC20" s="379"/>
      <c r="AD20" s="380"/>
      <c r="AE20" s="381"/>
      <c r="AF20" s="382"/>
      <c r="AG20" s="368"/>
      <c r="AH20" s="637"/>
      <c r="AI20" s="646"/>
      <c r="AJ20" s="383"/>
      <c r="AK20" s="627"/>
      <c r="AL20" s="368"/>
      <c r="AM20" s="656"/>
      <c r="AN20" s="345"/>
      <c r="AO20" s="686"/>
      <c r="AP20" s="346"/>
      <c r="AQ20" s="346"/>
      <c r="AR20" s="346"/>
      <c r="AS20" s="346"/>
      <c r="AT20" s="336"/>
      <c r="AU20" s="337"/>
      <c r="AV20" s="337"/>
      <c r="AW20" s="337"/>
      <c r="AX20" s="335"/>
    </row>
    <row r="21" spans="1:50" x14ac:dyDescent="0.2">
      <c r="A21" s="584"/>
      <c r="B21" s="585"/>
      <c r="C21" s="586"/>
      <c r="D21" s="587"/>
      <c r="E21" s="588"/>
      <c r="F21" s="588"/>
      <c r="G21" s="589"/>
      <c r="H21" s="589"/>
      <c r="I21" s="590"/>
      <c r="J21" s="589"/>
      <c r="K21" s="590"/>
      <c r="L21" s="589"/>
      <c r="M21" s="591"/>
      <c r="N21" s="589"/>
      <c r="O21" s="592"/>
      <c r="P21" s="593"/>
      <c r="Q21" s="594"/>
      <c r="R21" s="595"/>
      <c r="S21" s="595"/>
      <c r="T21" s="595"/>
      <c r="U21" s="596"/>
      <c r="V21" s="596"/>
      <c r="W21" s="596"/>
      <c r="X21" s="596"/>
      <c r="Y21" s="597"/>
      <c r="Z21" s="598"/>
      <c r="AA21" s="599"/>
      <c r="AB21" s="598"/>
      <c r="AC21" s="600"/>
      <c r="AD21" s="601"/>
      <c r="AE21" s="602"/>
      <c r="AF21" s="603"/>
      <c r="AG21" s="589"/>
      <c r="AH21" s="638"/>
      <c r="AI21" s="647"/>
      <c r="AJ21" s="604"/>
      <c r="AK21" s="628"/>
      <c r="AL21" s="589"/>
      <c r="AM21" s="657"/>
      <c r="AN21" s="605"/>
      <c r="AO21" s="858"/>
      <c r="AP21" s="606"/>
      <c r="AQ21" s="606"/>
      <c r="AR21" s="606"/>
      <c r="AS21" s="595"/>
      <c r="AT21" s="606"/>
      <c r="AU21" s="607"/>
      <c r="AV21" s="607"/>
      <c r="AW21" s="607"/>
      <c r="AX21" s="597"/>
    </row>
    <row r="22" spans="1:50" x14ac:dyDescent="0.2">
      <c r="A22" s="393" t="s">
        <v>293</v>
      </c>
      <c r="B22" s="394"/>
      <c r="C22" s="395"/>
      <c r="D22" s="396"/>
      <c r="E22" s="397"/>
      <c r="F22" s="397"/>
      <c r="G22" s="398"/>
      <c r="H22" s="398"/>
      <c r="I22" s="399"/>
      <c r="J22" s="398"/>
      <c r="K22" s="399"/>
      <c r="L22" s="398"/>
      <c r="M22" s="400"/>
      <c r="N22" s="398"/>
      <c r="O22" s="401"/>
      <c r="P22" s="402"/>
      <c r="Q22" s="403"/>
      <c r="R22" s="404"/>
      <c r="S22" s="404"/>
      <c r="T22" s="404"/>
      <c r="U22" s="405"/>
      <c r="V22" s="405"/>
      <c r="W22" s="405"/>
      <c r="X22" s="405"/>
      <c r="Y22" s="406"/>
      <c r="Z22" s="407"/>
      <c r="AA22" s="408"/>
      <c r="AB22" s="407"/>
      <c r="AC22" s="409"/>
      <c r="AD22" s="410"/>
      <c r="AE22" s="411"/>
      <c r="AF22" s="412"/>
      <c r="AG22" s="398"/>
      <c r="AH22" s="639"/>
      <c r="AI22" s="648"/>
      <c r="AJ22" s="413"/>
      <c r="AK22" s="629"/>
      <c r="AL22" s="398"/>
      <c r="AM22" s="658"/>
      <c r="AN22" s="332"/>
      <c r="AO22" s="859"/>
      <c r="AP22" s="333"/>
      <c r="AQ22" s="333"/>
      <c r="AR22" s="333"/>
      <c r="AS22" s="327"/>
      <c r="AT22" s="330"/>
      <c r="AU22" s="331"/>
      <c r="AV22" s="331"/>
      <c r="AW22" s="331"/>
      <c r="AX22" s="328"/>
    </row>
    <row r="23" spans="1:50" x14ac:dyDescent="0.2">
      <c r="A23" s="295"/>
      <c r="B23" s="340"/>
      <c r="C23" s="341"/>
      <c r="D23" s="326"/>
      <c r="E23" s="46"/>
      <c r="F23" s="46"/>
      <c r="G23" s="147"/>
      <c r="H23" s="147"/>
      <c r="I23" s="148"/>
      <c r="J23" s="147"/>
      <c r="K23" s="148"/>
      <c r="L23" s="147"/>
      <c r="M23" s="56"/>
      <c r="N23" s="147"/>
      <c r="O23" s="59"/>
      <c r="P23" s="279"/>
      <c r="Q23" s="160"/>
      <c r="R23" s="149"/>
      <c r="S23" s="149"/>
      <c r="T23" s="149"/>
      <c r="U23" s="150"/>
      <c r="V23" s="150"/>
      <c r="W23" s="150"/>
      <c r="X23" s="150"/>
      <c r="Y23" s="151"/>
      <c r="Z23" s="143"/>
      <c r="AA23" s="144"/>
      <c r="AB23" s="143"/>
      <c r="AC23" s="145"/>
      <c r="AD23" s="146"/>
      <c r="AE23" s="276"/>
      <c r="AF23" s="152"/>
      <c r="AG23" s="147"/>
      <c r="AH23" s="636"/>
      <c r="AI23" s="645"/>
      <c r="AJ23" s="269"/>
      <c r="AK23" s="626"/>
      <c r="AL23" s="147"/>
      <c r="AM23" s="636"/>
      <c r="AN23" s="683"/>
      <c r="AO23" s="685"/>
      <c r="AP23" s="684"/>
      <c r="AQ23" s="684"/>
      <c r="AR23" s="684"/>
      <c r="AS23" s="149"/>
      <c r="AT23" s="155"/>
      <c r="AU23" s="157"/>
      <c r="AV23" s="157"/>
      <c r="AW23" s="157"/>
      <c r="AX23" s="151"/>
    </row>
    <row r="24" spans="1:50" x14ac:dyDescent="0.2">
      <c r="A24" s="363" t="s">
        <v>339</v>
      </c>
      <c r="B24" s="364"/>
      <c r="C24" s="365"/>
      <c r="D24" s="366"/>
      <c r="E24" s="367"/>
      <c r="F24" s="367"/>
      <c r="G24" s="368"/>
      <c r="H24" s="368"/>
      <c r="I24" s="369"/>
      <c r="J24" s="368"/>
      <c r="K24" s="369"/>
      <c r="L24" s="368"/>
      <c r="M24" s="370"/>
      <c r="N24" s="368"/>
      <c r="O24" s="371"/>
      <c r="P24" s="372"/>
      <c r="Q24" s="373"/>
      <c r="R24" s="374"/>
      <c r="S24" s="374"/>
      <c r="T24" s="374"/>
      <c r="U24" s="375"/>
      <c r="V24" s="375"/>
      <c r="W24" s="375"/>
      <c r="X24" s="375"/>
      <c r="Y24" s="376"/>
      <c r="Z24" s="377"/>
      <c r="AA24" s="378"/>
      <c r="AB24" s="377"/>
      <c r="AC24" s="379"/>
      <c r="AD24" s="380"/>
      <c r="AE24" s="381"/>
      <c r="AF24" s="382"/>
      <c r="AG24" s="368"/>
      <c r="AH24" s="637"/>
      <c r="AI24" s="646"/>
      <c r="AJ24" s="383"/>
      <c r="AK24" s="627"/>
      <c r="AL24" s="368"/>
      <c r="AM24" s="637"/>
      <c r="AN24" s="345"/>
      <c r="AO24" s="686"/>
      <c r="AP24" s="346"/>
      <c r="AQ24" s="346"/>
      <c r="AR24" s="346"/>
      <c r="AS24" s="346"/>
      <c r="AT24" s="336"/>
      <c r="AU24" s="337"/>
      <c r="AV24" s="337"/>
      <c r="AW24" s="337"/>
      <c r="AX24" s="335"/>
    </row>
    <row r="25" spans="1:50" x14ac:dyDescent="0.2">
      <c r="A25" s="584"/>
      <c r="B25" s="585"/>
      <c r="C25" s="586"/>
      <c r="D25" s="587"/>
      <c r="E25" s="588"/>
      <c r="F25" s="588"/>
      <c r="G25" s="589"/>
      <c r="H25" s="589"/>
      <c r="I25" s="590"/>
      <c r="J25" s="589"/>
      <c r="K25" s="590"/>
      <c r="L25" s="589"/>
      <c r="M25" s="591"/>
      <c r="N25" s="589"/>
      <c r="O25" s="592"/>
      <c r="P25" s="593"/>
      <c r="Q25" s="594"/>
      <c r="R25" s="595"/>
      <c r="S25" s="595"/>
      <c r="T25" s="595"/>
      <c r="U25" s="596"/>
      <c r="V25" s="596"/>
      <c r="W25" s="596"/>
      <c r="X25" s="596"/>
      <c r="Y25" s="597"/>
      <c r="Z25" s="598"/>
      <c r="AA25" s="599"/>
      <c r="AB25" s="598"/>
      <c r="AC25" s="600"/>
      <c r="AD25" s="601"/>
      <c r="AE25" s="602"/>
      <c r="AF25" s="603"/>
      <c r="AG25" s="589"/>
      <c r="AH25" s="638"/>
      <c r="AI25" s="647"/>
      <c r="AJ25" s="604"/>
      <c r="AK25" s="628"/>
      <c r="AL25" s="589"/>
      <c r="AM25" s="657"/>
      <c r="AN25" s="605"/>
      <c r="AO25" s="858"/>
      <c r="AP25" s="606"/>
      <c r="AQ25" s="606"/>
      <c r="AR25" s="606"/>
      <c r="AS25" s="595"/>
      <c r="AT25" s="606"/>
      <c r="AU25" s="607"/>
      <c r="AV25" s="607"/>
      <c r="AW25" s="607"/>
      <c r="AX25" s="597"/>
    </row>
    <row r="26" spans="1:50" x14ac:dyDescent="0.2">
      <c r="A26" s="393" t="s">
        <v>292</v>
      </c>
      <c r="B26" s="394"/>
      <c r="C26" s="395"/>
      <c r="D26" s="396"/>
      <c r="E26" s="397"/>
      <c r="F26" s="397"/>
      <c r="G26" s="398"/>
      <c r="H26" s="398"/>
      <c r="I26" s="399"/>
      <c r="J26" s="398"/>
      <c r="K26" s="399"/>
      <c r="L26" s="398"/>
      <c r="M26" s="400"/>
      <c r="N26" s="398"/>
      <c r="O26" s="401"/>
      <c r="P26" s="402"/>
      <c r="Q26" s="403"/>
      <c r="R26" s="404"/>
      <c r="S26" s="404"/>
      <c r="T26" s="404"/>
      <c r="U26" s="405"/>
      <c r="V26" s="405"/>
      <c r="W26" s="405"/>
      <c r="X26" s="405"/>
      <c r="Y26" s="406"/>
      <c r="Z26" s="407"/>
      <c r="AA26" s="408"/>
      <c r="AB26" s="407"/>
      <c r="AC26" s="409"/>
      <c r="AD26" s="410"/>
      <c r="AE26" s="411"/>
      <c r="AF26" s="412"/>
      <c r="AG26" s="398"/>
      <c r="AH26" s="639"/>
      <c r="AI26" s="648"/>
      <c r="AJ26" s="413"/>
      <c r="AK26" s="629"/>
      <c r="AL26" s="398"/>
      <c r="AM26" s="658"/>
      <c r="AN26" s="332"/>
      <c r="AO26" s="859"/>
      <c r="AP26" s="333"/>
      <c r="AQ26" s="333"/>
      <c r="AR26" s="333"/>
      <c r="AS26" s="327"/>
      <c r="AT26" s="330"/>
      <c r="AU26" s="331"/>
      <c r="AV26" s="331"/>
      <c r="AW26" s="331"/>
      <c r="AX26" s="328"/>
    </row>
    <row r="27" spans="1:50" x14ac:dyDescent="0.2">
      <c r="A27" s="295"/>
      <c r="B27" s="340"/>
      <c r="C27" s="341"/>
      <c r="D27" s="326"/>
      <c r="E27" s="46"/>
      <c r="F27" s="46"/>
      <c r="G27" s="147"/>
      <c r="H27" s="147"/>
      <c r="I27" s="148"/>
      <c r="J27" s="147"/>
      <c r="K27" s="148"/>
      <c r="L27" s="147"/>
      <c r="M27" s="56"/>
      <c r="N27" s="147"/>
      <c r="O27" s="59"/>
      <c r="P27" s="279"/>
      <c r="Q27" s="160"/>
      <c r="R27" s="149"/>
      <c r="S27" s="149"/>
      <c r="T27" s="149"/>
      <c r="U27" s="150"/>
      <c r="V27" s="150"/>
      <c r="W27" s="150"/>
      <c r="X27" s="150"/>
      <c r="Y27" s="151"/>
      <c r="Z27" s="143"/>
      <c r="AA27" s="144"/>
      <c r="AB27" s="143"/>
      <c r="AC27" s="145"/>
      <c r="AD27" s="146"/>
      <c r="AE27" s="276"/>
      <c r="AF27" s="152"/>
      <c r="AG27" s="147"/>
      <c r="AH27" s="636"/>
      <c r="AI27" s="645"/>
      <c r="AJ27" s="269"/>
      <c r="AK27" s="626"/>
      <c r="AL27" s="147"/>
      <c r="AM27" s="655"/>
      <c r="AN27" s="154"/>
      <c r="AO27" s="156"/>
      <c r="AP27" s="155"/>
      <c r="AQ27" s="155"/>
      <c r="AR27" s="155"/>
      <c r="AS27" s="149"/>
      <c r="AT27" s="155"/>
      <c r="AU27" s="157"/>
      <c r="AV27" s="157"/>
      <c r="AW27" s="157"/>
      <c r="AX27" s="151"/>
    </row>
    <row r="28" spans="1:50" x14ac:dyDescent="0.2">
      <c r="A28" s="363" t="s">
        <v>340</v>
      </c>
      <c r="B28" s="364"/>
      <c r="C28" s="365"/>
      <c r="D28" s="366"/>
      <c r="E28" s="367"/>
      <c r="F28" s="367"/>
      <c r="G28" s="368"/>
      <c r="H28" s="368"/>
      <c r="I28" s="369"/>
      <c r="J28" s="368"/>
      <c r="K28" s="369"/>
      <c r="L28" s="368"/>
      <c r="M28" s="370"/>
      <c r="N28" s="368"/>
      <c r="O28" s="371"/>
      <c r="P28" s="372"/>
      <c r="Q28" s="373"/>
      <c r="R28" s="374"/>
      <c r="S28" s="374"/>
      <c r="T28" s="374"/>
      <c r="U28" s="375"/>
      <c r="V28" s="375"/>
      <c r="W28" s="375"/>
      <c r="X28" s="375"/>
      <c r="Y28" s="376"/>
      <c r="Z28" s="377"/>
      <c r="AA28" s="378"/>
      <c r="AB28" s="377"/>
      <c r="AC28" s="379"/>
      <c r="AD28" s="380"/>
      <c r="AE28" s="381"/>
      <c r="AF28" s="382"/>
      <c r="AG28" s="368"/>
      <c r="AH28" s="637"/>
      <c r="AI28" s="646"/>
      <c r="AJ28" s="383"/>
      <c r="AK28" s="627"/>
      <c r="AL28" s="368"/>
      <c r="AM28" s="656"/>
      <c r="AN28" s="345"/>
      <c r="AO28" s="686"/>
      <c r="AP28" s="346"/>
      <c r="AQ28" s="346"/>
      <c r="AR28" s="346"/>
      <c r="AS28" s="346"/>
      <c r="AT28" s="336"/>
      <c r="AU28" s="337"/>
      <c r="AV28" s="337"/>
      <c r="AW28" s="337"/>
      <c r="AX28" s="335"/>
    </row>
    <row r="29" spans="1:50" x14ac:dyDescent="0.2">
      <c r="A29" s="584"/>
      <c r="B29" s="585"/>
      <c r="C29" s="586"/>
      <c r="D29" s="587"/>
      <c r="E29" s="588"/>
      <c r="F29" s="588"/>
      <c r="G29" s="589"/>
      <c r="H29" s="589"/>
      <c r="I29" s="590"/>
      <c r="J29" s="589"/>
      <c r="K29" s="590"/>
      <c r="L29" s="589"/>
      <c r="M29" s="591"/>
      <c r="N29" s="589"/>
      <c r="O29" s="592"/>
      <c r="P29" s="593"/>
      <c r="Q29" s="594"/>
      <c r="R29" s="595"/>
      <c r="S29" s="595"/>
      <c r="T29" s="595"/>
      <c r="U29" s="596"/>
      <c r="V29" s="596"/>
      <c r="W29" s="596"/>
      <c r="X29" s="596"/>
      <c r="Y29" s="597"/>
      <c r="Z29" s="598"/>
      <c r="AA29" s="599"/>
      <c r="AB29" s="598"/>
      <c r="AC29" s="600"/>
      <c r="AD29" s="601"/>
      <c r="AE29" s="602"/>
      <c r="AF29" s="603"/>
      <c r="AG29" s="589"/>
      <c r="AH29" s="638"/>
      <c r="AI29" s="647"/>
      <c r="AJ29" s="604"/>
      <c r="AK29" s="628"/>
      <c r="AL29" s="589"/>
      <c r="AM29" s="657"/>
      <c r="AN29" s="605"/>
      <c r="AO29" s="858"/>
      <c r="AP29" s="606"/>
      <c r="AQ29" s="606"/>
      <c r="AR29" s="606"/>
      <c r="AS29" s="595"/>
      <c r="AT29" s="606"/>
      <c r="AU29" s="607"/>
      <c r="AV29" s="607"/>
      <c r="AW29" s="607"/>
      <c r="AX29" s="597"/>
    </row>
    <row r="30" spans="1:50" x14ac:dyDescent="0.2">
      <c r="A30" s="393" t="s">
        <v>291</v>
      </c>
      <c r="B30" s="394"/>
      <c r="C30" s="395"/>
      <c r="D30" s="396"/>
      <c r="E30" s="397"/>
      <c r="F30" s="397"/>
      <c r="G30" s="398"/>
      <c r="H30" s="398"/>
      <c r="I30" s="399"/>
      <c r="J30" s="398"/>
      <c r="K30" s="399"/>
      <c r="L30" s="398"/>
      <c r="M30" s="400"/>
      <c r="N30" s="398"/>
      <c r="O30" s="401"/>
      <c r="P30" s="402"/>
      <c r="Q30" s="403"/>
      <c r="R30" s="404"/>
      <c r="S30" s="404"/>
      <c r="T30" s="404"/>
      <c r="U30" s="405"/>
      <c r="V30" s="405"/>
      <c r="W30" s="405"/>
      <c r="X30" s="405"/>
      <c r="Y30" s="406"/>
      <c r="Z30" s="407"/>
      <c r="AA30" s="408"/>
      <c r="AB30" s="407"/>
      <c r="AC30" s="409"/>
      <c r="AD30" s="410"/>
      <c r="AE30" s="411"/>
      <c r="AF30" s="412"/>
      <c r="AG30" s="398"/>
      <c r="AH30" s="639"/>
      <c r="AI30" s="648"/>
      <c r="AJ30" s="413"/>
      <c r="AK30" s="629"/>
      <c r="AL30" s="398"/>
      <c r="AM30" s="658"/>
      <c r="AN30" s="332"/>
      <c r="AO30" s="859"/>
      <c r="AP30" s="333"/>
      <c r="AQ30" s="333"/>
      <c r="AR30" s="333"/>
      <c r="AS30" s="327"/>
      <c r="AT30" s="330"/>
      <c r="AU30" s="331"/>
      <c r="AV30" s="331"/>
      <c r="AW30" s="331"/>
      <c r="AX30" s="328"/>
    </row>
    <row r="31" spans="1:50" x14ac:dyDescent="0.2">
      <c r="A31" s="295"/>
      <c r="B31" s="340"/>
      <c r="C31" s="341"/>
      <c r="D31" s="326"/>
      <c r="E31" s="46"/>
      <c r="F31" s="46"/>
      <c r="G31" s="147"/>
      <c r="H31" s="147"/>
      <c r="I31" s="148"/>
      <c r="J31" s="147"/>
      <c r="K31" s="148"/>
      <c r="L31" s="147"/>
      <c r="M31" s="56"/>
      <c r="N31" s="147"/>
      <c r="O31" s="59"/>
      <c r="P31" s="279"/>
      <c r="Q31" s="160"/>
      <c r="R31" s="149"/>
      <c r="S31" s="149"/>
      <c r="T31" s="149"/>
      <c r="U31" s="150"/>
      <c r="V31" s="150"/>
      <c r="W31" s="150"/>
      <c r="X31" s="150"/>
      <c r="Y31" s="151"/>
      <c r="Z31" s="143"/>
      <c r="AA31" s="144"/>
      <c r="AB31" s="143"/>
      <c r="AC31" s="145"/>
      <c r="AD31" s="146"/>
      <c r="AE31" s="276"/>
      <c r="AF31" s="152"/>
      <c r="AG31" s="147"/>
      <c r="AH31" s="636"/>
      <c r="AI31" s="645"/>
      <c r="AJ31" s="269"/>
      <c r="AK31" s="626"/>
      <c r="AL31" s="147"/>
      <c r="AM31" s="655"/>
      <c r="AN31" s="154"/>
      <c r="AO31" s="156"/>
      <c r="AP31" s="155"/>
      <c r="AQ31" s="155"/>
      <c r="AR31" s="155"/>
      <c r="AS31" s="149"/>
      <c r="AT31" s="155"/>
      <c r="AU31" s="157"/>
      <c r="AV31" s="157"/>
      <c r="AW31" s="157"/>
      <c r="AX31" s="151"/>
    </row>
    <row r="32" spans="1:50" x14ac:dyDescent="0.2">
      <c r="A32" s="363" t="s">
        <v>341</v>
      </c>
      <c r="B32" s="364"/>
      <c r="C32" s="365"/>
      <c r="D32" s="366"/>
      <c r="E32" s="367"/>
      <c r="F32" s="367"/>
      <c r="G32" s="368"/>
      <c r="H32" s="368"/>
      <c r="I32" s="369"/>
      <c r="J32" s="368"/>
      <c r="K32" s="369"/>
      <c r="L32" s="368"/>
      <c r="M32" s="370"/>
      <c r="N32" s="368"/>
      <c r="O32" s="371"/>
      <c r="P32" s="372"/>
      <c r="Q32" s="373"/>
      <c r="R32" s="374"/>
      <c r="S32" s="374"/>
      <c r="T32" s="374"/>
      <c r="U32" s="375"/>
      <c r="V32" s="375"/>
      <c r="W32" s="375"/>
      <c r="X32" s="375"/>
      <c r="Y32" s="376"/>
      <c r="Z32" s="377"/>
      <c r="AA32" s="378"/>
      <c r="AB32" s="377"/>
      <c r="AC32" s="379"/>
      <c r="AD32" s="380"/>
      <c r="AE32" s="381"/>
      <c r="AF32" s="382"/>
      <c r="AG32" s="368"/>
      <c r="AH32" s="637"/>
      <c r="AI32" s="646"/>
      <c r="AJ32" s="383"/>
      <c r="AK32" s="627"/>
      <c r="AL32" s="368"/>
      <c r="AM32" s="656"/>
      <c r="AN32" s="345"/>
      <c r="AO32" s="686"/>
      <c r="AP32" s="346"/>
      <c r="AQ32" s="346"/>
      <c r="AR32" s="346"/>
      <c r="AS32" s="346"/>
      <c r="AT32" s="336"/>
      <c r="AU32" s="337"/>
      <c r="AV32" s="337"/>
      <c r="AW32" s="337"/>
      <c r="AX32" s="335"/>
    </row>
    <row r="33" spans="1:50" x14ac:dyDescent="0.2">
      <c r="A33" s="584"/>
      <c r="B33" s="585"/>
      <c r="C33" s="586"/>
      <c r="D33" s="608"/>
      <c r="E33" s="589"/>
      <c r="F33" s="589"/>
      <c r="G33" s="589"/>
      <c r="H33" s="589"/>
      <c r="I33" s="590"/>
      <c r="J33" s="589"/>
      <c r="K33" s="590"/>
      <c r="L33" s="589"/>
      <c r="M33" s="590"/>
      <c r="N33" s="590"/>
      <c r="O33" s="590"/>
      <c r="P33" s="593"/>
      <c r="Q33" s="595"/>
      <c r="R33" s="595"/>
      <c r="S33" s="595"/>
      <c r="T33" s="595"/>
      <c r="U33" s="596"/>
      <c r="V33" s="596"/>
      <c r="W33" s="596"/>
      <c r="X33" s="596"/>
      <c r="Y33" s="597"/>
      <c r="Z33" s="598"/>
      <c r="AA33" s="599"/>
      <c r="AB33" s="598"/>
      <c r="AC33" s="600"/>
      <c r="AD33" s="601"/>
      <c r="AE33" s="602"/>
      <c r="AF33" s="603"/>
      <c r="AG33" s="589"/>
      <c r="AH33" s="638"/>
      <c r="AI33" s="647"/>
      <c r="AJ33" s="604"/>
      <c r="AK33" s="628"/>
      <c r="AL33" s="589"/>
      <c r="AM33" s="657"/>
      <c r="AN33" s="609"/>
      <c r="AO33" s="861"/>
      <c r="AP33" s="595"/>
      <c r="AQ33" s="595"/>
      <c r="AR33" s="595"/>
      <c r="AS33" s="595"/>
      <c r="AT33" s="595"/>
      <c r="AU33" s="596"/>
      <c r="AV33" s="596"/>
      <c r="AW33" s="596"/>
      <c r="AX33" s="597"/>
    </row>
    <row r="34" spans="1:50" x14ac:dyDescent="0.2">
      <c r="A34" s="393" t="s">
        <v>290</v>
      </c>
      <c r="B34" s="394"/>
      <c r="C34" s="395"/>
      <c r="D34" s="396"/>
      <c r="E34" s="397"/>
      <c r="F34" s="397"/>
      <c r="G34" s="398"/>
      <c r="H34" s="398"/>
      <c r="I34" s="399"/>
      <c r="J34" s="398"/>
      <c r="K34" s="399"/>
      <c r="L34" s="398"/>
      <c r="M34" s="400"/>
      <c r="N34" s="398"/>
      <c r="O34" s="401"/>
      <c r="P34" s="402"/>
      <c r="Q34" s="403"/>
      <c r="R34" s="404"/>
      <c r="S34" s="404"/>
      <c r="T34" s="404"/>
      <c r="U34" s="405"/>
      <c r="V34" s="405"/>
      <c r="W34" s="405"/>
      <c r="X34" s="405"/>
      <c r="Y34" s="406"/>
      <c r="Z34" s="407"/>
      <c r="AA34" s="408"/>
      <c r="AB34" s="407"/>
      <c r="AC34" s="409"/>
      <c r="AD34" s="410"/>
      <c r="AE34" s="411"/>
      <c r="AF34" s="412"/>
      <c r="AG34" s="398"/>
      <c r="AH34" s="639"/>
      <c r="AI34" s="648"/>
      <c r="AJ34" s="413"/>
      <c r="AK34" s="629"/>
      <c r="AL34" s="398"/>
      <c r="AM34" s="658"/>
      <c r="AN34" s="329"/>
      <c r="AO34" s="862"/>
      <c r="AP34" s="330"/>
      <c r="AQ34" s="330"/>
      <c r="AR34" s="330"/>
      <c r="AS34" s="327"/>
      <c r="AT34" s="330"/>
      <c r="AU34" s="331"/>
      <c r="AV34" s="331"/>
      <c r="AW34" s="331"/>
      <c r="AX34" s="328"/>
    </row>
    <row r="35" spans="1:50" x14ac:dyDescent="0.2">
      <c r="A35" s="334"/>
      <c r="B35" s="340"/>
      <c r="C35" s="341"/>
      <c r="D35" s="338"/>
      <c r="E35" s="46"/>
      <c r="F35" s="46"/>
      <c r="G35" s="147"/>
      <c r="H35" s="147"/>
      <c r="I35" s="148"/>
      <c r="J35" s="147"/>
      <c r="K35" s="148"/>
      <c r="L35" s="147"/>
      <c r="M35" s="56"/>
      <c r="N35" s="148"/>
      <c r="O35" s="56"/>
      <c r="P35" s="279"/>
      <c r="Q35" s="160"/>
      <c r="R35" s="149"/>
      <c r="S35" s="149"/>
      <c r="T35" s="149"/>
      <c r="U35" s="150"/>
      <c r="V35" s="150"/>
      <c r="W35" s="150"/>
      <c r="X35" s="150"/>
      <c r="Y35" s="151"/>
      <c r="Z35" s="143"/>
      <c r="AA35" s="144"/>
      <c r="AB35" s="143"/>
      <c r="AC35" s="145"/>
      <c r="AD35" s="146"/>
      <c r="AE35" s="276"/>
      <c r="AF35" s="152"/>
      <c r="AG35" s="147"/>
      <c r="AH35" s="636"/>
      <c r="AI35" s="645"/>
      <c r="AJ35" s="269"/>
      <c r="AK35" s="626"/>
      <c r="AL35" s="147"/>
      <c r="AM35" s="655"/>
      <c r="AN35" s="154"/>
      <c r="AO35" s="156"/>
      <c r="AP35" s="155"/>
      <c r="AQ35" s="155"/>
      <c r="AR35" s="155"/>
      <c r="AS35" s="149"/>
      <c r="AT35" s="155"/>
      <c r="AU35" s="157"/>
      <c r="AV35" s="157"/>
      <c r="AW35" s="157"/>
      <c r="AX35" s="151"/>
    </row>
    <row r="36" spans="1:50" ht="12" thickBot="1" x14ac:dyDescent="0.25">
      <c r="A36" s="297"/>
      <c r="B36" s="343"/>
      <c r="C36" s="344"/>
      <c r="D36" s="161"/>
      <c r="E36" s="161"/>
      <c r="F36" s="161"/>
      <c r="G36" s="161"/>
      <c r="H36" s="161"/>
      <c r="I36" s="162"/>
      <c r="J36" s="161"/>
      <c r="K36" s="162"/>
      <c r="L36" s="161"/>
      <c r="M36" s="162"/>
      <c r="N36" s="162"/>
      <c r="O36" s="162"/>
      <c r="P36" s="280"/>
      <c r="Q36" s="163"/>
      <c r="R36" s="163"/>
      <c r="S36" s="163"/>
      <c r="T36" s="163"/>
      <c r="U36" s="164"/>
      <c r="V36" s="164"/>
      <c r="W36" s="164"/>
      <c r="X36" s="164"/>
      <c r="Y36" s="165"/>
      <c r="Z36" s="166"/>
      <c r="AA36" s="167"/>
      <c r="AB36" s="166"/>
      <c r="AC36" s="168"/>
      <c r="AD36" s="169"/>
      <c r="AE36" s="278"/>
      <c r="AF36" s="171"/>
      <c r="AG36" s="161"/>
      <c r="AH36" s="640"/>
      <c r="AI36" s="649"/>
      <c r="AJ36" s="270"/>
      <c r="AK36" s="632"/>
      <c r="AL36" s="161"/>
      <c r="AM36" s="659"/>
      <c r="AN36" s="170"/>
      <c r="AO36" s="863"/>
      <c r="AP36" s="163"/>
      <c r="AQ36" s="163"/>
      <c r="AR36" s="163"/>
      <c r="AS36" s="163"/>
      <c r="AT36" s="163"/>
      <c r="AU36" s="164"/>
      <c r="AV36" s="164"/>
      <c r="AW36" s="164"/>
      <c r="AX36"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34"/>
  <sheetViews>
    <sheetView workbookViewId="0">
      <pane xSplit="20" ySplit="6" topLeftCell="Y7" activePane="bottomRight" state="frozen"/>
      <selection pane="topRight" activeCell="U1" sqref="U1"/>
      <selection pane="bottomLeft" activeCell="A7" sqref="A7"/>
      <selection pane="bottomRight" activeCell="AA3" sqref="AA3"/>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6" width="7.12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Cd_en_Tl</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IF($B$5=0,"",IF(INDEX(AK$1:AK$34,$B$5)="","",IF(AND(OR($AI5="",INGVAN="",$AI5&lt;=INGVAN),OR($AI5="",INGTOT="",$AI5&lt;=INGTOT)),1,0)))</f>
        <v/>
      </c>
      <c r="AL1" s="184" t="str">
        <f ca="1">IF($B$5=0,"",IF(INDEX(AK$1:AK$34,$B$5)="","",IF(AND(OR($AJ5="",INGVAN="",$AJ5&gt;=INGVAN),OR($AJ5="",INGTOT="",$AJ5&gt;=INGTOT)),1,0)))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512</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Cd_en_Tl</v>
      </c>
      <c r="AG3" s="129" t="s">
        <v>165</v>
      </c>
      <c r="AH3" s="633" t="s">
        <v>356</v>
      </c>
      <c r="AI3" s="642" t="s">
        <v>358</v>
      </c>
      <c r="AJ3" s="282" t="s">
        <v>359</v>
      </c>
      <c r="AK3" s="624" t="s">
        <v>251</v>
      </c>
      <c r="AL3" s="130" t="s">
        <v>183</v>
      </c>
      <c r="AM3" s="652" t="s">
        <v>209</v>
      </c>
      <c r="AN3" s="530" t="s">
        <v>534</v>
      </c>
      <c r="AO3" s="853"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IF(AND(AF5="",AF6=""),"",CONCATENATE(ROUND((100-IF(AF6="",0,ABRAND2))/100*IF(AF5="",0,AF5*(21-AG4)/(21-AG5))+IF(AF5="",100,ABRAND2)/100*IF(AF6="",0,AF6*(21-AG4)/(21-AG6)),0)," ",IF(A2="","",A2)," bij ",AG4," vol% O₂"))</f>
        <v/>
      </c>
      <c r="AG4" s="208" t="str">
        <f ca="1">IF(AG5="",AG6,AG5)</f>
        <v/>
      </c>
      <c r="AH4" s="634" t="str">
        <f ca="1">IF($C$6=0,AH5,IF($B$5=0,AH6,IF($B$5&lt;$C$6,AH5,AH6)))</f>
        <v/>
      </c>
      <c r="AI4" s="643"/>
      <c r="AJ4" s="208"/>
      <c r="AK4" s="696"/>
      <c r="AL4" s="208"/>
      <c r="AM4" s="653" t="str">
        <f ca="1">IF($C$6=0,AM5,IF($B$5=0,AM6,IF($B$5&lt;$C$6,AM5,AM6)))</f>
        <v/>
      </c>
      <c r="AN4" s="209"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54" t="str">
        <f t="shared" ref="AO4:AS4" ca="1" si="7">IF($C$6=0,AO5,IF($B$5=0,AO6,IF($B$5&lt;$C$6,AO5,AO6)))</f>
        <v/>
      </c>
      <c r="AP4" s="210" t="str">
        <f t="shared" ca="1" si="7"/>
        <v/>
      </c>
      <c r="AQ4" s="210" t="str">
        <f t="shared" ca="1" si="7"/>
        <v/>
      </c>
      <c r="AR4" s="211" t="str">
        <f t="shared" ca="1" si="7"/>
        <v/>
      </c>
      <c r="AS4" s="210" t="str">
        <f t="shared" ca="1" si="7"/>
        <v/>
      </c>
      <c r="AT4" s="210" t="str">
        <f t="shared" ref="AT4" ca="1" si="8">IF($C$6=0,AT5,IF($B$5=0,AT6,IF($B$5&lt;$C$6,AT5,AT6)))</f>
        <v/>
      </c>
      <c r="AU4" s="212"/>
      <c r="AV4" s="212"/>
      <c r="AW4" s="212"/>
      <c r="AX4" s="213" t="str">
        <f ca="1">AW2</f>
        <v/>
      </c>
    </row>
    <row r="5" spans="1:50" x14ac:dyDescent="0.2">
      <c r="A5" s="181" t="s">
        <v>29</v>
      </c>
      <c r="B5" s="192">
        <f ca="1">IF(Geldig,MAX(B8:B34),0)</f>
        <v>0</v>
      </c>
      <c r="C5" s="195"/>
      <c r="D5" s="192" t="str">
        <f t="shared" ref="D5:AF5" ca="1" si="9">IF($B$5=0,"",IF(INDEX(D$1:D$34,$B$5)="","",INDEX(D$1:D$34,$B$5)))</f>
        <v/>
      </c>
      <c r="E5" s="193" t="str">
        <f t="shared" ca="1" si="9"/>
        <v/>
      </c>
      <c r="F5" s="193" t="str">
        <f t="shared" ca="1" si="9"/>
        <v/>
      </c>
      <c r="G5" s="193" t="str">
        <f t="shared" ca="1" si="9"/>
        <v/>
      </c>
      <c r="H5" s="193" t="str">
        <f t="shared" ca="1" si="9"/>
        <v/>
      </c>
      <c r="I5" s="194" t="str">
        <f t="shared" ca="1" si="9"/>
        <v/>
      </c>
      <c r="J5" s="193" t="str">
        <f t="shared" ca="1" si="9"/>
        <v/>
      </c>
      <c r="K5" s="194" t="str">
        <f t="shared" ca="1" si="9"/>
        <v/>
      </c>
      <c r="L5" s="193" t="str">
        <f t="shared" ca="1" si="9"/>
        <v/>
      </c>
      <c r="M5" s="194" t="str">
        <f t="shared" ca="1" si="9"/>
        <v/>
      </c>
      <c r="N5" s="194" t="str">
        <f t="shared" ca="1" si="9"/>
        <v/>
      </c>
      <c r="O5" s="195" t="str">
        <f t="shared" ca="1" si="9"/>
        <v/>
      </c>
      <c r="P5" s="187" t="str">
        <f t="shared" ca="1" si="9"/>
        <v/>
      </c>
      <c r="Q5" s="214" t="str">
        <f t="shared" ca="1" si="9"/>
        <v/>
      </c>
      <c r="R5" s="214" t="str">
        <f t="shared" ca="1" si="9"/>
        <v/>
      </c>
      <c r="S5" s="214" t="str">
        <f t="shared" ca="1" si="9"/>
        <v/>
      </c>
      <c r="T5" s="214" t="str">
        <f t="shared" ca="1" si="9"/>
        <v/>
      </c>
      <c r="U5" s="214" t="str">
        <f t="shared" ca="1" si="9"/>
        <v/>
      </c>
      <c r="V5" s="215" t="str">
        <f t="shared" ca="1" si="9"/>
        <v/>
      </c>
      <c r="W5" s="215" t="str">
        <f t="shared" ca="1" si="9"/>
        <v/>
      </c>
      <c r="X5" s="215" t="str">
        <f t="shared" ca="1" si="9"/>
        <v/>
      </c>
      <c r="Y5" s="216" t="str">
        <f t="shared" ca="1" si="9"/>
        <v/>
      </c>
      <c r="Z5" s="217" t="str">
        <f t="shared" ca="1" si="9"/>
        <v/>
      </c>
      <c r="AA5" s="218" t="str">
        <f t="shared" ca="1" si="9"/>
        <v/>
      </c>
      <c r="AB5" s="217" t="str">
        <f t="shared" ca="1" si="9"/>
        <v/>
      </c>
      <c r="AC5" s="219" t="str">
        <f t="shared" ca="1" si="9"/>
        <v/>
      </c>
      <c r="AD5" s="220" t="str">
        <f t="shared" ca="1" si="9"/>
        <v/>
      </c>
      <c r="AE5" s="221" t="str">
        <f t="shared" ca="1" si="9"/>
        <v/>
      </c>
      <c r="AF5" s="222" t="str">
        <f t="shared" ca="1" si="9"/>
        <v/>
      </c>
      <c r="AG5" s="223" t="str">
        <f ca="1">IF($B$5=0,"",IF(INDEX(AG$1:AG$34,$B$5)="",O2BRAND1,INDEX(AG$1:AG$34,$B$5)))</f>
        <v/>
      </c>
      <c r="AH5" s="225" t="str">
        <f ca="1">IF($B$5=0,"",IF(INDEX(AH$1:AH$34,$B$5)="","",INDEX(AH$1:AH$34,$B$5)))</f>
        <v/>
      </c>
      <c r="AI5" s="661" t="str">
        <f ca="1">IF($B$5=0,"",IF(INDEX(AI$1:AI$34,$B$5)="","",INDEX(AI$1:AI$34,$B$5)))</f>
        <v/>
      </c>
      <c r="AJ5" s="218" t="str">
        <f ca="1">IF($B$5=0,"",IF(INDEX(AJ$1:AJ$34,$B$5)="","",INDEX(AJ$1:AJ$34,$B$5)))</f>
        <v/>
      </c>
      <c r="AK5" s="651" t="str">
        <f ca="1">IF($B$5=0,"",IF(INDEX(AK$1:AK$34,$B$5)="","",IF(AND(OR($AI5="",INGVAN="",$AI5&lt;=INGVAN),OR($AI5="",INGTOT="",$AI5&lt;=INGTOT),OR($AJ5="",INGVAN="",$AJ5&gt;=INGVAN),OR($AJ5="",INGTOT="",$AJ5&gt;=INGTOT)),INDEX(AK$1:AK$34,$B$5),"")))</f>
        <v/>
      </c>
      <c r="AL5" s="223" t="str">
        <f ca="1">IF($B$5=0,"",IF(INDEX(AL$1:AL$34,$B$5)="","",IF(AND(OR($AI5="",INGVAN="",$AI5&lt;=INGVAN),OR($AI5="",INGTOT="",$AI5&lt;=INGTOT),OR($AJ5="",INGVAN="",$AJ5&gt;=INGVAN),OR($AJ5="",INGTOT="",$AJ5&gt;=INGTOT)),INDEX(AL$1:AL$34,$B$5),"")))</f>
        <v/>
      </c>
      <c r="AM5" s="224" t="str">
        <f ca="1">IF($B$5=0,"",IF(INDEX(AM$1:AM$34,$B$5)="","",IF(AND(OR($AI5="",INGVAN="",$AI5&lt;=INGVAN),OR($AI5="",INGTOT="",$AI5&lt;=INGTOT),OR($AJ5="",INGVAN="",$AJ5&gt;=INGVAN),OR($AJ5="",INGTOT="",$AJ5&gt;=INGTOT)),INDEX(AM$1:AM$34,$B$5),"")))</f>
        <v/>
      </c>
      <c r="AN5" s="226"/>
      <c r="AO5" s="855" t="str">
        <f t="shared" ref="AO5:AW5" ca="1" si="10">IF($B$5=0,"",IF(INDEX(AO$1:AO$34,$B$5)="","",INDEX(AO$1:AO$34,$B$5)))</f>
        <v/>
      </c>
      <c r="AP5" s="227" t="str">
        <f t="shared" ca="1" si="10"/>
        <v/>
      </c>
      <c r="AQ5" s="227" t="str">
        <f t="shared" ca="1" si="10"/>
        <v/>
      </c>
      <c r="AR5" s="227" t="str">
        <f t="shared" ca="1" si="10"/>
        <v/>
      </c>
      <c r="AS5" s="227" t="str">
        <f t="shared" ca="1" si="10"/>
        <v/>
      </c>
      <c r="AT5" s="227" t="str">
        <f t="shared" ca="1" si="10"/>
        <v/>
      </c>
      <c r="AU5" s="227" t="str">
        <f t="shared" ca="1" si="10"/>
        <v/>
      </c>
      <c r="AV5" s="227" t="str">
        <f t="shared" ca="1" si="10"/>
        <v/>
      </c>
      <c r="AW5" s="227" t="str">
        <f t="shared" ca="1" si="10"/>
        <v/>
      </c>
      <c r="AX5" s="228"/>
    </row>
    <row r="6" spans="1:50" ht="12" thickBot="1" x14ac:dyDescent="0.25">
      <c r="A6" s="182" t="s">
        <v>30</v>
      </c>
      <c r="B6" s="190"/>
      <c r="C6" s="191">
        <f ca="1">MAX(C8:C34)</f>
        <v>0</v>
      </c>
      <c r="D6" s="196" t="str">
        <f t="shared" ref="D6:AF6" ca="1" si="11">IF($C$6=0,"",IF(INDEX(D$1:D$34,$C$6)="","",INDEX(D$1:D$34,$C$6)))</f>
        <v/>
      </c>
      <c r="E6" s="196" t="str">
        <f t="shared" ca="1" si="11"/>
        <v/>
      </c>
      <c r="F6" s="196" t="str">
        <f t="shared" ca="1" si="11"/>
        <v/>
      </c>
      <c r="G6" s="196" t="str">
        <f t="shared" ca="1" si="11"/>
        <v/>
      </c>
      <c r="H6" s="196" t="str">
        <f t="shared" ca="1" si="11"/>
        <v/>
      </c>
      <c r="I6" s="197" t="str">
        <f t="shared" ca="1" si="11"/>
        <v/>
      </c>
      <c r="J6" s="196" t="str">
        <f t="shared" ca="1" si="11"/>
        <v/>
      </c>
      <c r="K6" s="197" t="str">
        <f t="shared" ca="1" si="11"/>
        <v/>
      </c>
      <c r="L6" s="196" t="str">
        <f t="shared" ca="1" si="11"/>
        <v/>
      </c>
      <c r="M6" s="197" t="str">
        <f t="shared" ca="1" si="11"/>
        <v/>
      </c>
      <c r="N6" s="197" t="str">
        <f t="shared" ca="1" si="11"/>
        <v/>
      </c>
      <c r="O6" s="197" t="str">
        <f t="shared" ca="1" si="11"/>
        <v/>
      </c>
      <c r="P6" s="229" t="str">
        <f t="shared" ca="1" si="11"/>
        <v/>
      </c>
      <c r="Q6" s="230" t="str">
        <f t="shared" ca="1" si="11"/>
        <v/>
      </c>
      <c r="R6" s="230" t="str">
        <f t="shared" ca="1" si="11"/>
        <v/>
      </c>
      <c r="S6" s="230" t="str">
        <f t="shared" ca="1" si="11"/>
        <v/>
      </c>
      <c r="T6" s="230" t="str">
        <f t="shared" ca="1" si="11"/>
        <v/>
      </c>
      <c r="U6" s="230" t="str">
        <f t="shared" ca="1" si="11"/>
        <v/>
      </c>
      <c r="V6" s="231" t="str">
        <f t="shared" ca="1" si="11"/>
        <v/>
      </c>
      <c r="W6" s="231" t="str">
        <f t="shared" ca="1" si="11"/>
        <v/>
      </c>
      <c r="X6" s="231" t="str">
        <f t="shared" ca="1" si="11"/>
        <v/>
      </c>
      <c r="Y6" s="232" t="str">
        <f t="shared" ca="1" si="11"/>
        <v/>
      </c>
      <c r="Z6" s="233" t="str">
        <f t="shared" ca="1" si="11"/>
        <v/>
      </c>
      <c r="AA6" s="234" t="str">
        <f t="shared" ca="1" si="11"/>
        <v/>
      </c>
      <c r="AB6" s="233" t="str">
        <f t="shared" ca="1" si="11"/>
        <v/>
      </c>
      <c r="AC6" s="235" t="str">
        <f t="shared" ca="1" si="11"/>
        <v/>
      </c>
      <c r="AD6" s="236" t="str">
        <f t="shared" ca="1" si="11"/>
        <v/>
      </c>
      <c r="AE6" s="237" t="str">
        <f t="shared" ca="1" si="11"/>
        <v/>
      </c>
      <c r="AF6" s="196" t="str">
        <f t="shared" ca="1" si="11"/>
        <v/>
      </c>
      <c r="AG6" s="238" t="str">
        <f ca="1">IF($C$6=0,"",IF(INDEX(AG$1:AG$34,$C$6)="",O2BRAND2,INDEX(AG$1:AG$34,$C$6)))</f>
        <v/>
      </c>
      <c r="AH6" s="239" t="str">
        <f ca="1">IF($C$6=0,"",IF(INDEX(AH$1:AH$34,$C$6)="","",INDEX(AH$1:AH$34,$C$6)))</f>
        <v/>
      </c>
      <c r="AI6" s="662" t="str">
        <f ca="1">IF($C$6=0,"",IF(INDEX(AI$1:AI$34,$C$6)="","",INDEX(AI$1:AI$34,$C$6)))</f>
        <v/>
      </c>
      <c r="AJ6" s="234" t="str">
        <f ca="1">IF($C$6=0,"",IF(INDEX(AJ$1:AJ$34,$C$6)="","",INDEX(AJ$1:AJ$34,$C$6)))</f>
        <v/>
      </c>
      <c r="AK6" s="672" t="str">
        <f ca="1">IF($C$6=0,"",IF(INDEX(AK$1:AK$34,$C$6)="","",IF(AND(OR($AI6="",INGVAN="",$AI6&lt;=INGVAN),OR($AI6="",INGTOT="",$AI6&lt;=INGTOT),OR($AJ6="",INGVAN="",$AJ6&gt;=INGVAN),OR($AJ6="",INGTOT="",$AJ6&gt;=INGTOT)),INDEX(AK$1:AK$34,$C$6),"")))</f>
        <v/>
      </c>
      <c r="AL6" s="238" t="str">
        <f ca="1">IF($C$6=0,"",IF(INDEX(AL$1:AL$34,$C$6)="","",IF(AND(OR($AI6="",INGVAN="",$AI6&lt;=INGVAN),OR($AI6="",INGTOT="",$AI6&lt;=INGTOT),OR($AJ6="",INGVAN="",$AJ6&gt;=INGVAN),OR($AJ6="",INGTOT="",$AJ6&gt;=INGTOT)),INDEX(AL$1:AL$34,$C$6),"")))</f>
        <v/>
      </c>
      <c r="AM6" s="673" t="str">
        <f ca="1">IF($C$6=0,"",IF(INDEX(AM$1:AM$34,$C$6)="","",IF(AND(OR($AI6="",INGVAN="",$AI6&lt;=INGVAN),OR($AI6="",INGTOT="",$AI6&lt;=INGTOT),OR($AJ6="",INGVAN="",$AJ6&gt;=INGVAN),OR($AJ6="",INGTOT="",$AJ6&gt;=INGTOT)),INDEX(AM$1:AM$34,$C$6),"")))</f>
        <v/>
      </c>
      <c r="AN6" s="240"/>
      <c r="AO6" s="856" t="str">
        <f t="shared" ref="AO6:AW6" ca="1" si="12">IF($C$6=0,"",IF(INDEX(AO$1:AO$34,$C$6)="","",INDEX(AO$1:AO$34,$C$6)))</f>
        <v/>
      </c>
      <c r="AP6" s="241" t="str">
        <f t="shared" ca="1" si="12"/>
        <v/>
      </c>
      <c r="AQ6" s="241" t="str">
        <f t="shared" ca="1" si="12"/>
        <v/>
      </c>
      <c r="AR6" s="241" t="str">
        <f t="shared" ca="1" si="12"/>
        <v/>
      </c>
      <c r="AS6" s="241" t="str">
        <f t="shared" ca="1" si="12"/>
        <v/>
      </c>
      <c r="AT6" s="241" t="str">
        <f t="shared" ca="1" si="12"/>
        <v/>
      </c>
      <c r="AU6" s="241" t="str">
        <f t="shared" ca="1" si="12"/>
        <v/>
      </c>
      <c r="AV6" s="241" t="str">
        <f t="shared" ca="1" si="12"/>
        <v/>
      </c>
      <c r="AW6" s="241" t="str">
        <f t="shared" ca="1" si="12"/>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322"/>
      <c r="AO7" s="857" t="s">
        <v>431</v>
      </c>
      <c r="AP7" s="323" t="s">
        <v>432</v>
      </c>
      <c r="AQ7" s="323" t="s">
        <v>417</v>
      </c>
      <c r="AR7" s="323" t="s">
        <v>443</v>
      </c>
      <c r="AS7" s="323"/>
      <c r="AT7" s="320"/>
      <c r="AU7" s="321"/>
      <c r="AV7" s="321"/>
      <c r="AW7" s="321"/>
      <c r="AX7" s="319"/>
    </row>
    <row r="8" spans="1:50" x14ac:dyDescent="0.2">
      <c r="A8" s="295"/>
      <c r="B8" s="339">
        <f t="shared" ref="B8:B14" ca="1" si="13">IF(AND(SUM(D8:K8,L8:M8)=COUNT(D8:K8,L8:M8),COUNT(D8:K8,L8:M8)&gt;0),ROW(B8),0)</f>
        <v>0</v>
      </c>
      <c r="C8" s="249">
        <f t="shared" ref="C8:C14" ca="1" si="14">IF(AND(SUM(D8:K8,N8:O8)=COUNT(D8:K8,N8:O8),COUNT(D8:K8,N8:O8)&gt;0),ROW(B8),0)</f>
        <v>0</v>
      </c>
      <c r="D8" s="246">
        <f ca="1">IF(AND(OR($Z8="",INGVAN="",$Z8&lt;=INGVAN),OR($Z8="",INGTOT="",$Z8&lt;=INGTOT),OR($AA8="",INGVAN="",$AA8&gt;=INGVAN),OR($AA8="",INGTOT="",$AA8&gt;=INGTOT)),1,0)</f>
        <v>1</v>
      </c>
      <c r="E8" s="247">
        <f t="shared" ref="E8:E14" ca="1" si="15">IF(AND(OR($AB8="",Tdatum&gt;=$AB8,AND(AB8&lt;&gt;"",ISNUMBER(FIND("j",LOWER(AD8))))),OR($AC8="",Tdatum&lt;=$AC8)),1,0)</f>
        <v>1</v>
      </c>
      <c r="F8" s="247">
        <f t="shared" ref="F8:F14" ca="1" si="16">IF(AND(OR($S8="",MW&gt;=$S8),OR($T8="",$T8&gt;MW)),1,0)</f>
        <v>1</v>
      </c>
      <c r="G8" s="147">
        <f ca="1">IF(Afvalvernietiging,1,0)</f>
        <v>0</v>
      </c>
      <c r="H8" s="147"/>
      <c r="I8" s="147"/>
      <c r="J8" s="147"/>
      <c r="K8" s="148"/>
      <c r="L8" s="147">
        <f ca="1">IF(OR(TBRAND1=3,AND(G8=1,N8=0)),1,0)</f>
        <v>0</v>
      </c>
      <c r="M8" s="248">
        <f t="shared" ref="M8" ca="1" si="17">IF(AND(ParBAL1&lt;&gt;"",ParBAL1=P8),1,0)</f>
        <v>0</v>
      </c>
      <c r="N8" s="147">
        <f ca="1">IF(TBRAND2=3,1,0)</f>
        <v>0</v>
      </c>
      <c r="O8" s="249">
        <f t="shared" ref="O8" ca="1" si="18">IF(AND(ParBAL2&lt;&gt;"",ParBAL2=P8),1,0)</f>
        <v>0</v>
      </c>
      <c r="P8" s="279" t="s">
        <v>39</v>
      </c>
      <c r="Q8" s="149" t="s">
        <v>48</v>
      </c>
      <c r="R8" s="149" t="s">
        <v>265</v>
      </c>
      <c r="S8" s="149"/>
      <c r="T8" s="149"/>
      <c r="U8" s="150"/>
      <c r="V8" s="150"/>
      <c r="W8" s="150"/>
      <c r="X8" s="150"/>
      <c r="Y8" s="151"/>
      <c r="Z8" s="143"/>
      <c r="AA8" s="144"/>
      <c r="AB8" s="143"/>
      <c r="AC8" s="145"/>
      <c r="AD8" s="146"/>
      <c r="AE8" s="276" t="s">
        <v>121</v>
      </c>
      <c r="AF8" s="152" t="s">
        <v>393</v>
      </c>
      <c r="AG8" s="147"/>
      <c r="AH8" s="636"/>
      <c r="AI8" s="645"/>
      <c r="AJ8" s="269"/>
      <c r="AK8" s="626"/>
      <c r="AL8" s="147"/>
      <c r="AM8" s="655"/>
      <c r="AN8" s="324"/>
      <c r="AO8" s="349" t="str">
        <f>AO$7</f>
        <v xml:space="preserve">Op grond van artikel 4.81 1e lid geldt een halfjaarlijkse periodieke meetverplichting. Op basis van het atikel 4.81 2e of 5e lid kan een afwijkende meetfrequentie van toepassing zijn. </v>
      </c>
      <c r="AP8" s="325" t="str">
        <f t="shared" ref="AP8:AR14" si="19">AP$7</f>
        <v>Een periodieke meting bestaat uit één deelmeting van ten minste 30 minuten en ten hoogste acht uur. De metingen worden uitgevoerd door een geaccrediteerd laboratorium volgens NEN-EN 14385 (art. 4.78 en 4.84).</v>
      </c>
      <c r="AQ8" s="325" t="str">
        <f t="shared" si="19"/>
        <v>De aangetoonde meetonzekerheid mag niet groter zijn dan 40% van de emissie-eis of 4 ug/Nm3 (art. 4.88).</v>
      </c>
      <c r="AR8" s="325" t="str">
        <f t="shared" si="19"/>
        <v>De installatie voldoet aan de gestelde emissie-eis als gevalideerde meetresultaten lager dan de emissie-eis zijn (art. 4.90). Een gevalideerde waarde is de waarde nadat de aangetoonde meetonzekerheid in mindering is gebracht.</v>
      </c>
      <c r="AS8" s="325"/>
      <c r="AT8" s="149"/>
      <c r="AU8" s="150"/>
      <c r="AV8" s="150"/>
      <c r="AW8" s="150"/>
      <c r="AX8" s="151"/>
    </row>
    <row r="9" spans="1:50" x14ac:dyDescent="0.2">
      <c r="A9" s="295"/>
      <c r="B9" s="339">
        <f t="shared" ca="1" si="13"/>
        <v>0</v>
      </c>
      <c r="C9" s="249">
        <f t="shared" ca="1" si="14"/>
        <v>0</v>
      </c>
      <c r="D9" s="246">
        <f ca="1">IF(AND(OR($Z9="",INGVAN="",$Z9&lt;=INGVAN),OR($Z9="",INGTOT="",$Z9&lt;=INGTOT),OR($AA9="",INGVAN="",$AA9&gt;=INGVAN),OR($AA9="",INGTOT="",$AA9&gt;=INGTOT)),1,0)</f>
        <v>1</v>
      </c>
      <c r="E9" s="247">
        <f t="shared" ca="1" si="15"/>
        <v>1</v>
      </c>
      <c r="F9" s="247">
        <f t="shared" ca="1" si="16"/>
        <v>0</v>
      </c>
      <c r="G9" s="147">
        <f ca="1">IF(EnergieUitAfval,1,0)</f>
        <v>0</v>
      </c>
      <c r="H9" s="147"/>
      <c r="I9" s="147"/>
      <c r="J9" s="147"/>
      <c r="K9" s="148"/>
      <c r="L9" s="147">
        <f ca="1">IF(TBRAND1=3,1,0)</f>
        <v>0</v>
      </c>
      <c r="M9" s="248">
        <f t="shared" ref="M9:M11" ca="1" si="20">IF(AND(ParBAL1&lt;&gt;"",ParBAL1=P9),1,0)</f>
        <v>0</v>
      </c>
      <c r="N9" s="147">
        <f ca="1">IF(TBRAND2=3,1,0)</f>
        <v>0</v>
      </c>
      <c r="O9" s="249">
        <f t="shared" ref="O9:O11" ca="1" si="21">IF(AND(ParBAL2&lt;&gt;"",ParBAL2=P9),1,0)</f>
        <v>0</v>
      </c>
      <c r="P9" s="279" t="s">
        <v>39</v>
      </c>
      <c r="Q9" s="149" t="s">
        <v>429</v>
      </c>
      <c r="R9" s="149" t="s">
        <v>46</v>
      </c>
      <c r="S9" s="149">
        <v>50</v>
      </c>
      <c r="T9" s="149"/>
      <c r="U9" s="150"/>
      <c r="V9" s="150"/>
      <c r="W9" s="150"/>
      <c r="X9" s="150"/>
      <c r="Y9" s="151"/>
      <c r="Z9" s="143"/>
      <c r="AA9" s="144"/>
      <c r="AB9" s="143"/>
      <c r="AC9" s="145"/>
      <c r="AD9" s="146"/>
      <c r="AE9" s="276" t="s">
        <v>416</v>
      </c>
      <c r="AF9" s="152" t="s">
        <v>372</v>
      </c>
      <c r="AG9" s="147">
        <v>6</v>
      </c>
      <c r="AH9" s="636"/>
      <c r="AI9" s="645"/>
      <c r="AJ9" s="269"/>
      <c r="AK9" s="626"/>
      <c r="AL9" s="147"/>
      <c r="AM9" s="655"/>
      <c r="AN9" s="324"/>
      <c r="AO9" s="349" t="str">
        <f t="shared" ref="AO9:AO14" si="22">AO$7</f>
        <v xml:space="preserve">Op grond van artikel 4.81 1e lid geldt een halfjaarlijkse periodieke meetverplichting. Op basis van het atikel 4.81 2e of 5e lid kan een afwijkende meetfrequentie van toepassing zijn. </v>
      </c>
      <c r="AP9" s="325" t="str">
        <f t="shared" si="19"/>
        <v>Een periodieke meting bestaat uit één deelmeting van ten minste 30 minuten en ten hoogste acht uur. De metingen worden uitgevoerd door een geaccrediteerd laboratorium volgens NEN-EN 14385 (art. 4.78 en 4.84).</v>
      </c>
      <c r="AQ9" s="325" t="str">
        <f t="shared" si="19"/>
        <v>De aangetoonde meetonzekerheid mag niet groter zijn dan 40% van de emissie-eis of 4 ug/Nm3 (art. 4.88).</v>
      </c>
      <c r="AR9" s="325" t="str">
        <f t="shared" si="19"/>
        <v>De installatie voldoet aan de gestelde emissie-eis als gevalideerde meetresultaten lager dan de emissie-eis zijn (art. 4.90). Een gevalideerde waarde is de waarde nadat de aangetoonde meetonzekerheid in mindering is gebracht.</v>
      </c>
      <c r="AS9" s="325"/>
      <c r="AT9" s="155"/>
      <c r="AU9" s="157"/>
      <c r="AV9" s="157"/>
      <c r="AW9" s="157"/>
      <c r="AX9" s="158"/>
    </row>
    <row r="10" spans="1:50" x14ac:dyDescent="0.2">
      <c r="A10" s="295"/>
      <c r="B10" s="339">
        <f t="shared" ref="B10" ca="1" si="23">IF(AND(SUM(D10:K10,L10:M10)=COUNT(D10:K10,L10:M10),COUNT(D10:K10,L10:M10)&gt;0),ROW(B10),0)</f>
        <v>0</v>
      </c>
      <c r="C10" s="249">
        <f t="shared" ref="C10" ca="1" si="24">IF(AND(SUM(D10:K10,N10:O10)=COUNT(D10:K10,N10:O10),COUNT(D10:K10,N10:O10)&gt;0),ROW(B10),0)</f>
        <v>0</v>
      </c>
      <c r="D10" s="246">
        <f ca="1">IF(AND(OR($Z10="",INGVAN="",$Z10&lt;=INGVAN),OR($Z10="",INGTOT="",$Z10&lt;=INGTOT),OR($AA10="",INGVAN="",$AA10&gt;=INGVAN),OR($AA10="",INGTOT="",$AA10&gt;=INGTOT)),1,0)</f>
        <v>1</v>
      </c>
      <c r="E10" s="247">
        <f t="shared" ref="E10" ca="1" si="25">IF(AND(OR($AB10="",Tdatum&gt;=$AB10,AND(AB10&lt;&gt;"",ISNUMBER(FIND("j",LOWER(AD10))))),OR($AC10="",Tdatum&lt;=$AC10)),1,0)</f>
        <v>1</v>
      </c>
      <c r="F10" s="247">
        <f t="shared" ca="1" si="16"/>
        <v>1</v>
      </c>
      <c r="G10" s="147">
        <f ca="1">IF(EnergieUitAfval,1,0)</f>
        <v>0</v>
      </c>
      <c r="H10" s="147"/>
      <c r="I10" s="147"/>
      <c r="J10" s="147"/>
      <c r="K10" s="148"/>
      <c r="L10" s="147">
        <f ca="1">IF(TBRAND1=3,1,0)</f>
        <v>0</v>
      </c>
      <c r="M10" s="248">
        <f t="shared" ref="M10" ca="1" si="26">IF(AND(ParBAL1&lt;&gt;"",ParBAL1=P10),1,0)</f>
        <v>0</v>
      </c>
      <c r="N10" s="147">
        <f ca="1">IF(TBRAND2=3,1,0)</f>
        <v>0</v>
      </c>
      <c r="O10" s="249">
        <f t="shared" ref="O10" ca="1" si="27">IF(AND(ParBAL2&lt;&gt;"",ParBAL2=P10),1,0)</f>
        <v>0</v>
      </c>
      <c r="P10" s="279" t="s">
        <v>39</v>
      </c>
      <c r="Q10" s="149" t="s">
        <v>430</v>
      </c>
      <c r="R10" s="149" t="s">
        <v>46</v>
      </c>
      <c r="S10" s="149"/>
      <c r="T10" s="149">
        <v>50</v>
      </c>
      <c r="U10" s="150"/>
      <c r="V10" s="150"/>
      <c r="W10" s="150"/>
      <c r="X10" s="150"/>
      <c r="Y10" s="151"/>
      <c r="Z10" s="143"/>
      <c r="AA10" s="144"/>
      <c r="AB10" s="143"/>
      <c r="AC10" s="145"/>
      <c r="AD10" s="146"/>
      <c r="AE10" s="276" t="s">
        <v>416</v>
      </c>
      <c r="AF10" s="152" t="s">
        <v>386</v>
      </c>
      <c r="AG10" s="147">
        <v>6</v>
      </c>
      <c r="AH10" s="636"/>
      <c r="AI10" s="645"/>
      <c r="AJ10" s="269"/>
      <c r="AK10" s="626"/>
      <c r="AL10" s="147"/>
      <c r="AM10" s="655"/>
      <c r="AN10" s="324"/>
      <c r="AO10" s="349" t="str">
        <f t="shared" si="22"/>
        <v xml:space="preserve">Op grond van artikel 4.81 1e lid geldt een halfjaarlijkse periodieke meetverplichting. Op basis van het atikel 4.81 2e of 5e lid kan een afwijkende meetfrequentie van toepassing zijn. </v>
      </c>
      <c r="AP10" s="325" t="str">
        <f t="shared" si="19"/>
        <v>Een periodieke meting bestaat uit één deelmeting van ten minste 30 minuten en ten hoogste acht uur. De metingen worden uitgevoerd door een geaccrediteerd laboratorium volgens NEN-EN 14385 (art. 4.78 en 4.84).</v>
      </c>
      <c r="AQ10" s="325" t="str">
        <f t="shared" si="19"/>
        <v>De aangetoonde meetonzekerheid mag niet groter zijn dan 40% van de emissie-eis of 4 ug/Nm3 (art. 4.88).</v>
      </c>
      <c r="AR10" s="325" t="str">
        <f t="shared" si="19"/>
        <v>De installatie voldoet aan de gestelde emissie-eis als gevalideerde meetresultaten lager dan de emissie-eis zijn (art. 4.90). Een gevalideerde waarde is de waarde nadat de aangetoonde meetonzekerheid in mindering is gebracht.</v>
      </c>
      <c r="AS10" s="325"/>
      <c r="AT10" s="155"/>
      <c r="AU10" s="157"/>
      <c r="AV10" s="157"/>
      <c r="AW10" s="157"/>
      <c r="AX10" s="158"/>
    </row>
    <row r="11" spans="1:50" x14ac:dyDescent="0.2">
      <c r="A11" s="295"/>
      <c r="B11" s="339">
        <f t="shared" ca="1" si="13"/>
        <v>0</v>
      </c>
      <c r="C11" s="249">
        <f t="shared" ca="1" si="14"/>
        <v>0</v>
      </c>
      <c r="D11" s="246">
        <f ca="1">IF(AND(OR($Z11="",INGVAN="",$Z11&lt;=INGVAN),OR($Z11="",INGTOT="",$Z11&lt;=INGTOT),OR($AA11="",INGVAN="",$AA11&gt;=INGVAN),OR($AA11="",INGTOT="",$AA11&gt;=INGTOT)),1,0)</f>
        <v>1</v>
      </c>
      <c r="E11" s="247">
        <f t="shared" ca="1" si="15"/>
        <v>1</v>
      </c>
      <c r="F11" s="247">
        <f t="shared" ca="1" si="16"/>
        <v>1</v>
      </c>
      <c r="G11" s="147">
        <f ca="1">IF(SI=17,1,0)</f>
        <v>0</v>
      </c>
      <c r="H11" s="148"/>
      <c r="I11" s="147"/>
      <c r="J11" s="159"/>
      <c r="K11" s="148"/>
      <c r="L11" s="147">
        <f ca="1">IF(TBRAND1=3,1,0)</f>
        <v>0</v>
      </c>
      <c r="M11" s="248">
        <f t="shared" ca="1" si="20"/>
        <v>0</v>
      </c>
      <c r="N11" s="147">
        <f ca="1">IF(TBRAND2=3,1,0)</f>
        <v>0</v>
      </c>
      <c r="O11" s="249">
        <f t="shared" ca="1" si="21"/>
        <v>0</v>
      </c>
      <c r="P11" s="279" t="s">
        <v>39</v>
      </c>
      <c r="Q11" s="160" t="s">
        <v>128</v>
      </c>
      <c r="R11" s="149"/>
      <c r="S11" s="149"/>
      <c r="T11" s="149"/>
      <c r="U11" s="150"/>
      <c r="V11" s="150"/>
      <c r="W11" s="150"/>
      <c r="X11" s="150"/>
      <c r="Y11" s="151"/>
      <c r="Z11" s="143"/>
      <c r="AA11" s="144"/>
      <c r="AB11" s="143"/>
      <c r="AC11" s="145"/>
      <c r="AD11" s="146"/>
      <c r="AE11" s="276" t="s">
        <v>130</v>
      </c>
      <c r="AF11" s="152" t="s">
        <v>160</v>
      </c>
      <c r="AG11" s="147"/>
      <c r="AH11" s="636"/>
      <c r="AI11" s="645"/>
      <c r="AJ11" s="269"/>
      <c r="AK11" s="626"/>
      <c r="AL11" s="147"/>
      <c r="AM11" s="655"/>
      <c r="AN11" s="324"/>
      <c r="AO11" s="349" t="str">
        <f t="shared" si="22"/>
        <v xml:space="preserve">Op grond van artikel 4.81 1e lid geldt een halfjaarlijkse periodieke meetverplichting. Op basis van het atikel 4.81 2e of 5e lid kan een afwijkende meetfrequentie van toepassing zijn. </v>
      </c>
      <c r="AP11" s="325" t="str">
        <f t="shared" si="19"/>
        <v>Een periodieke meting bestaat uit één deelmeting van ten minste 30 minuten en ten hoogste acht uur. De metingen worden uitgevoerd door een geaccrediteerd laboratorium volgens NEN-EN 14385 (art. 4.78 en 4.84).</v>
      </c>
      <c r="AQ11" s="325" t="str">
        <f t="shared" si="19"/>
        <v>De aangetoonde meetonzekerheid mag niet groter zijn dan 40% van de emissie-eis of 4 ug/Nm3 (art. 4.88).</v>
      </c>
      <c r="AR11" s="325" t="str">
        <f t="shared" si="19"/>
        <v>De installatie voldoet aan de gestelde emissie-eis als gevalideerde meetresultaten lager dan de emissie-eis zijn (art. 4.90). Een gevalideerde waarde is de waarde nadat de aangetoonde meetonzekerheid in mindering is gebracht.</v>
      </c>
      <c r="AS11" s="325"/>
      <c r="AT11" s="155"/>
      <c r="AU11" s="157"/>
      <c r="AV11" s="157"/>
      <c r="AW11" s="157"/>
      <c r="AX11" s="151"/>
    </row>
    <row r="12" spans="1:50" x14ac:dyDescent="0.2">
      <c r="A12" s="295"/>
      <c r="B12" s="340"/>
      <c r="C12" s="341"/>
      <c r="D12" s="326"/>
      <c r="E12" s="46"/>
      <c r="F12" s="46"/>
      <c r="G12" s="147"/>
      <c r="H12" s="147"/>
      <c r="I12" s="148"/>
      <c r="J12" s="147"/>
      <c r="K12" s="148"/>
      <c r="L12" s="147"/>
      <c r="M12" s="56"/>
      <c r="N12" s="147"/>
      <c r="O12" s="59"/>
      <c r="P12" s="279"/>
      <c r="Q12" s="160"/>
      <c r="R12" s="149"/>
      <c r="S12" s="149"/>
      <c r="T12" s="149"/>
      <c r="U12" s="150"/>
      <c r="V12" s="150"/>
      <c r="W12" s="150"/>
      <c r="X12" s="150"/>
      <c r="Y12" s="151"/>
      <c r="Z12" s="143"/>
      <c r="AA12" s="144"/>
      <c r="AB12" s="143"/>
      <c r="AC12" s="145"/>
      <c r="AD12" s="146"/>
      <c r="AE12" s="276"/>
      <c r="AF12" s="152"/>
      <c r="AG12" s="147"/>
      <c r="AH12" s="636"/>
      <c r="AI12" s="645"/>
      <c r="AJ12" s="269"/>
      <c r="AK12" s="626"/>
      <c r="AL12" s="147"/>
      <c r="AM12" s="655"/>
      <c r="AN12" s="683"/>
      <c r="AO12" s="685"/>
      <c r="AP12" s="684"/>
      <c r="AQ12" s="684"/>
      <c r="AR12" s="684"/>
      <c r="AS12" s="149"/>
      <c r="AT12" s="155"/>
      <c r="AU12" s="157"/>
      <c r="AV12" s="157"/>
      <c r="AW12" s="157"/>
      <c r="AX12" s="151"/>
    </row>
    <row r="13" spans="1:50" x14ac:dyDescent="0.2">
      <c r="A13" s="363" t="s">
        <v>337</v>
      </c>
      <c r="B13" s="364"/>
      <c r="C13" s="365"/>
      <c r="D13" s="366"/>
      <c r="E13" s="367"/>
      <c r="F13" s="367"/>
      <c r="G13" s="368"/>
      <c r="H13" s="368"/>
      <c r="I13" s="369"/>
      <c r="J13" s="368"/>
      <c r="K13" s="369"/>
      <c r="L13" s="368"/>
      <c r="M13" s="370"/>
      <c r="N13" s="368"/>
      <c r="O13" s="371"/>
      <c r="P13" s="372"/>
      <c r="Q13" s="373"/>
      <c r="R13" s="374"/>
      <c r="S13" s="374"/>
      <c r="T13" s="374"/>
      <c r="U13" s="375"/>
      <c r="V13" s="375"/>
      <c r="W13" s="375"/>
      <c r="X13" s="375"/>
      <c r="Y13" s="376"/>
      <c r="Z13" s="377"/>
      <c r="AA13" s="378"/>
      <c r="AB13" s="377"/>
      <c r="AC13" s="379"/>
      <c r="AD13" s="380"/>
      <c r="AE13" s="381"/>
      <c r="AF13" s="382"/>
      <c r="AG13" s="368"/>
      <c r="AH13" s="637"/>
      <c r="AI13" s="646"/>
      <c r="AJ13" s="383"/>
      <c r="AK13" s="627"/>
      <c r="AL13" s="368"/>
      <c r="AM13" s="656"/>
      <c r="AN13" s="332"/>
      <c r="AO13" s="859" t="s">
        <v>431</v>
      </c>
      <c r="AP13" s="333" t="s">
        <v>432</v>
      </c>
      <c r="AQ13" s="333" t="s">
        <v>417</v>
      </c>
      <c r="AR13" s="333" t="s">
        <v>443</v>
      </c>
      <c r="AS13" s="346"/>
      <c r="AT13" s="336"/>
      <c r="AU13" s="337"/>
      <c r="AV13" s="337"/>
      <c r="AW13" s="337"/>
      <c r="AX13" s="335"/>
    </row>
    <row r="14" spans="1:50" x14ac:dyDescent="0.2">
      <c r="A14" s="296"/>
      <c r="B14" s="339">
        <f t="shared" ca="1" si="13"/>
        <v>0</v>
      </c>
      <c r="C14" s="249">
        <f t="shared" ca="1" si="14"/>
        <v>0</v>
      </c>
      <c r="D14" s="246">
        <f ca="1">IF(AND(OR($Z14="",INGVAN="",$Z14&lt;=INGVAN),OR($Z14="",INGTOT="",$Z14&lt;=INGTOT),OR($AA14="",INGVAN="",$AA14&gt;=INGVAN),OR($AA14="",INGTOT="",$AA14&gt;=INGTOT)),1,0)</f>
        <v>1</v>
      </c>
      <c r="E14" s="247">
        <f t="shared" ca="1" si="15"/>
        <v>0</v>
      </c>
      <c r="F14" s="247">
        <f t="shared" ca="1" si="16"/>
        <v>1</v>
      </c>
      <c r="G14" s="147">
        <f ca="1">IF(AND(SI&lt;&gt;17,OR(ParBAL1="4.4",ParBAL2="4.4")),1,0)</f>
        <v>0</v>
      </c>
      <c r="H14" s="147"/>
      <c r="I14" s="148"/>
      <c r="J14" s="147"/>
      <c r="K14" s="148"/>
      <c r="L14" s="147">
        <f ca="1">IF(OR(TBRAND1=3,AND(G14=1,N14=0)),1,0)</f>
        <v>0</v>
      </c>
      <c r="M14" s="248">
        <f t="shared" ref="M14" ca="1" si="28">IF(AND(ParBAL1&lt;&gt;"",ParBAL1=P14),1,0)</f>
        <v>0</v>
      </c>
      <c r="N14" s="147">
        <f ca="1">IF(TBRAND2=3,1,0)</f>
        <v>0</v>
      </c>
      <c r="O14" s="249">
        <f t="shared" ref="O14" ca="1" si="29">IF(AND(ParBAL2&lt;&gt;"",ParBAL2=P14),1,0)</f>
        <v>0</v>
      </c>
      <c r="P14" s="291" t="s">
        <v>39</v>
      </c>
      <c r="Q14" s="160" t="s">
        <v>267</v>
      </c>
      <c r="R14" s="149"/>
      <c r="S14" s="149"/>
      <c r="T14" s="149"/>
      <c r="U14" s="150"/>
      <c r="V14" s="150"/>
      <c r="W14" s="150"/>
      <c r="X14" s="150"/>
      <c r="Y14" s="151"/>
      <c r="Z14" s="143"/>
      <c r="AA14" s="144">
        <f>IWTBAL-1</f>
        <v>45291</v>
      </c>
      <c r="AB14" s="143"/>
      <c r="AC14" s="145">
        <v>45241</v>
      </c>
      <c r="AD14" s="146"/>
      <c r="AE14" s="698" t="s">
        <v>124</v>
      </c>
      <c r="AF14" s="152" t="s">
        <v>160</v>
      </c>
      <c r="AG14" s="147"/>
      <c r="AH14" s="636"/>
      <c r="AI14" s="645"/>
      <c r="AJ14" s="269"/>
      <c r="AK14" s="626"/>
      <c r="AL14" s="147"/>
      <c r="AM14" s="655"/>
      <c r="AN14" s="324"/>
      <c r="AO14" s="349" t="str">
        <f t="shared" si="22"/>
        <v xml:space="preserve">Op grond van artikel 4.81 1e lid geldt een halfjaarlijkse periodieke meetverplichting. Op basis van het atikel 4.81 2e of 5e lid kan een afwijkende meetfrequentie van toepassing zijn. </v>
      </c>
      <c r="AP14" s="325" t="str">
        <f t="shared" si="19"/>
        <v>Een periodieke meting bestaat uit één deelmeting van ten minste 30 minuten en ten hoogste acht uur. De metingen worden uitgevoerd door een geaccrediteerd laboratorium volgens NEN-EN 14385 (art. 4.78 en 4.84).</v>
      </c>
      <c r="AQ14" s="325" t="str">
        <f t="shared" si="19"/>
        <v>De aangetoonde meetonzekerheid mag niet groter zijn dan 40% van de emissie-eis of 4 ug/Nm3 (art. 4.88).</v>
      </c>
      <c r="AR14" s="325" t="str">
        <f t="shared" si="19"/>
        <v>De installatie voldoet aan de gestelde emissie-eis als gevalideerde meetresultaten lager dan de emissie-eis zijn (art. 4.90). Een gevalideerde waarde is de waarde nadat de aangetoonde meetonzekerheid in mindering is gebracht.</v>
      </c>
      <c r="AS14" s="325"/>
      <c r="AT14" s="155"/>
      <c r="AU14" s="157"/>
      <c r="AV14" s="157"/>
      <c r="AW14" s="157"/>
      <c r="AX14" s="151"/>
    </row>
    <row r="15" spans="1:50" x14ac:dyDescent="0.2">
      <c r="A15" s="584"/>
      <c r="B15" s="585"/>
      <c r="C15" s="586"/>
      <c r="D15" s="587"/>
      <c r="E15" s="588"/>
      <c r="F15" s="588"/>
      <c r="G15" s="589"/>
      <c r="H15" s="589"/>
      <c r="I15" s="590"/>
      <c r="J15" s="589"/>
      <c r="K15" s="590"/>
      <c r="L15" s="589"/>
      <c r="M15" s="591"/>
      <c r="N15" s="589"/>
      <c r="O15" s="592"/>
      <c r="P15" s="593"/>
      <c r="Q15" s="594"/>
      <c r="R15" s="595"/>
      <c r="S15" s="595"/>
      <c r="T15" s="595"/>
      <c r="U15" s="596"/>
      <c r="V15" s="596"/>
      <c r="W15" s="596"/>
      <c r="X15" s="596"/>
      <c r="Y15" s="597"/>
      <c r="Z15" s="598"/>
      <c r="AA15" s="599"/>
      <c r="AB15" s="598"/>
      <c r="AC15" s="600"/>
      <c r="AD15" s="601"/>
      <c r="AE15" s="602"/>
      <c r="AF15" s="603"/>
      <c r="AG15" s="589"/>
      <c r="AH15" s="638"/>
      <c r="AI15" s="647"/>
      <c r="AJ15" s="604"/>
      <c r="AK15" s="628"/>
      <c r="AL15" s="589"/>
      <c r="AM15" s="657"/>
      <c r="AN15" s="605"/>
      <c r="AO15" s="858"/>
      <c r="AP15" s="606"/>
      <c r="AQ15" s="606"/>
      <c r="AR15" s="606"/>
      <c r="AS15" s="595"/>
      <c r="AT15" s="606"/>
      <c r="AU15" s="607"/>
      <c r="AV15" s="607"/>
      <c r="AW15" s="607"/>
      <c r="AX15" s="597"/>
    </row>
    <row r="16" spans="1:50" x14ac:dyDescent="0.2">
      <c r="A16" s="393" t="s">
        <v>294</v>
      </c>
      <c r="B16" s="394"/>
      <c r="C16" s="395"/>
      <c r="D16" s="396"/>
      <c r="E16" s="397"/>
      <c r="F16" s="397"/>
      <c r="G16" s="398"/>
      <c r="H16" s="398"/>
      <c r="I16" s="399"/>
      <c r="J16" s="398"/>
      <c r="K16" s="399"/>
      <c r="L16" s="398"/>
      <c r="M16" s="400"/>
      <c r="N16" s="398"/>
      <c r="O16" s="401"/>
      <c r="P16" s="402"/>
      <c r="Q16" s="403"/>
      <c r="R16" s="404"/>
      <c r="S16" s="404"/>
      <c r="T16" s="404"/>
      <c r="U16" s="405"/>
      <c r="V16" s="405"/>
      <c r="W16" s="405"/>
      <c r="X16" s="405"/>
      <c r="Y16" s="406"/>
      <c r="Z16" s="407"/>
      <c r="AA16" s="408"/>
      <c r="AB16" s="407"/>
      <c r="AC16" s="409"/>
      <c r="AD16" s="410"/>
      <c r="AE16" s="411"/>
      <c r="AF16" s="412"/>
      <c r="AG16" s="398"/>
      <c r="AH16" s="639"/>
      <c r="AI16" s="648"/>
      <c r="AJ16" s="413"/>
      <c r="AK16" s="629"/>
      <c r="AL16" s="398"/>
      <c r="AM16" s="658"/>
      <c r="AN16" s="332"/>
      <c r="AO16" s="859"/>
      <c r="AP16" s="333"/>
      <c r="AQ16" s="333"/>
      <c r="AR16" s="333"/>
      <c r="AS16" s="333"/>
      <c r="AT16" s="330"/>
      <c r="AU16" s="331"/>
      <c r="AV16" s="331"/>
      <c r="AW16" s="331"/>
      <c r="AX16" s="328"/>
    </row>
    <row r="17" spans="1:50" x14ac:dyDescent="0.2">
      <c r="A17" s="295"/>
      <c r="B17" s="340"/>
      <c r="C17" s="341"/>
      <c r="D17" s="326"/>
      <c r="E17" s="46"/>
      <c r="F17" s="46"/>
      <c r="G17" s="147"/>
      <c r="H17" s="147"/>
      <c r="I17" s="148"/>
      <c r="J17" s="147"/>
      <c r="K17" s="148"/>
      <c r="L17" s="147"/>
      <c r="M17" s="56"/>
      <c r="N17" s="147"/>
      <c r="O17" s="59"/>
      <c r="P17" s="279"/>
      <c r="Q17" s="160"/>
      <c r="R17" s="149"/>
      <c r="S17" s="149"/>
      <c r="T17" s="149"/>
      <c r="U17" s="150"/>
      <c r="V17" s="150"/>
      <c r="W17" s="150"/>
      <c r="X17" s="150"/>
      <c r="Y17" s="151"/>
      <c r="Z17" s="143"/>
      <c r="AA17" s="144"/>
      <c r="AB17" s="143"/>
      <c r="AC17" s="145"/>
      <c r="AD17" s="146"/>
      <c r="AE17" s="276"/>
      <c r="AF17" s="152"/>
      <c r="AG17" s="147"/>
      <c r="AH17" s="636"/>
      <c r="AI17" s="645"/>
      <c r="AJ17" s="269"/>
      <c r="AK17" s="626"/>
      <c r="AL17" s="147"/>
      <c r="AM17" s="655"/>
      <c r="AN17" s="154"/>
      <c r="AO17" s="156"/>
      <c r="AP17" s="155"/>
      <c r="AQ17" s="155"/>
      <c r="AR17" s="155"/>
      <c r="AS17" s="149"/>
      <c r="AT17" s="155"/>
      <c r="AU17" s="157"/>
      <c r="AV17" s="157"/>
      <c r="AW17" s="157"/>
      <c r="AX17" s="151"/>
    </row>
    <row r="18" spans="1:50" x14ac:dyDescent="0.2">
      <c r="A18" s="363" t="s">
        <v>338</v>
      </c>
      <c r="B18" s="364"/>
      <c r="C18" s="365"/>
      <c r="D18" s="366"/>
      <c r="E18" s="367"/>
      <c r="F18" s="367"/>
      <c r="G18" s="368"/>
      <c r="H18" s="368"/>
      <c r="I18" s="369"/>
      <c r="J18" s="368"/>
      <c r="K18" s="369"/>
      <c r="L18" s="368"/>
      <c r="M18" s="370"/>
      <c r="N18" s="368"/>
      <c r="O18" s="371"/>
      <c r="P18" s="372"/>
      <c r="Q18" s="373"/>
      <c r="R18" s="374"/>
      <c r="S18" s="374"/>
      <c r="T18" s="374"/>
      <c r="U18" s="375"/>
      <c r="V18" s="375"/>
      <c r="W18" s="375"/>
      <c r="X18" s="375"/>
      <c r="Y18" s="376"/>
      <c r="Z18" s="377"/>
      <c r="AA18" s="378"/>
      <c r="AB18" s="377"/>
      <c r="AC18" s="379"/>
      <c r="AD18" s="380"/>
      <c r="AE18" s="381"/>
      <c r="AF18" s="382"/>
      <c r="AG18" s="368"/>
      <c r="AH18" s="637"/>
      <c r="AI18" s="646"/>
      <c r="AJ18" s="383"/>
      <c r="AK18" s="627"/>
      <c r="AL18" s="368"/>
      <c r="AM18" s="656"/>
      <c r="AN18" s="345"/>
      <c r="AO18" s="686"/>
      <c r="AP18" s="346"/>
      <c r="AQ18" s="346"/>
      <c r="AR18" s="346"/>
      <c r="AS18" s="346"/>
      <c r="AT18" s="336"/>
      <c r="AU18" s="337"/>
      <c r="AV18" s="337"/>
      <c r="AW18" s="337"/>
      <c r="AX18" s="335"/>
    </row>
    <row r="19" spans="1:50" x14ac:dyDescent="0.2">
      <c r="A19" s="584"/>
      <c r="B19" s="585"/>
      <c r="C19" s="586"/>
      <c r="D19" s="587"/>
      <c r="E19" s="588"/>
      <c r="F19" s="588"/>
      <c r="G19" s="589"/>
      <c r="H19" s="589"/>
      <c r="I19" s="590"/>
      <c r="J19" s="589"/>
      <c r="K19" s="590"/>
      <c r="L19" s="589"/>
      <c r="M19" s="591"/>
      <c r="N19" s="589"/>
      <c r="O19" s="592"/>
      <c r="P19" s="593"/>
      <c r="Q19" s="594"/>
      <c r="R19" s="595"/>
      <c r="S19" s="595"/>
      <c r="T19" s="595"/>
      <c r="U19" s="596"/>
      <c r="V19" s="596"/>
      <c r="W19" s="596"/>
      <c r="X19" s="596"/>
      <c r="Y19" s="597"/>
      <c r="Z19" s="598"/>
      <c r="AA19" s="599"/>
      <c r="AB19" s="598"/>
      <c r="AC19" s="600"/>
      <c r="AD19" s="601"/>
      <c r="AE19" s="602"/>
      <c r="AF19" s="603"/>
      <c r="AG19" s="589"/>
      <c r="AH19" s="638"/>
      <c r="AI19" s="647"/>
      <c r="AJ19" s="604"/>
      <c r="AK19" s="628"/>
      <c r="AL19" s="589"/>
      <c r="AM19" s="657"/>
      <c r="AN19" s="605"/>
      <c r="AO19" s="858"/>
      <c r="AP19" s="606"/>
      <c r="AQ19" s="606"/>
      <c r="AR19" s="606"/>
      <c r="AS19" s="595"/>
      <c r="AT19" s="606"/>
      <c r="AU19" s="607"/>
      <c r="AV19" s="607"/>
      <c r="AW19" s="607"/>
      <c r="AX19" s="597"/>
    </row>
    <row r="20" spans="1:50" x14ac:dyDescent="0.2">
      <c r="A20" s="393" t="s">
        <v>293</v>
      </c>
      <c r="B20" s="394"/>
      <c r="C20" s="395"/>
      <c r="D20" s="396"/>
      <c r="E20" s="397"/>
      <c r="F20" s="397"/>
      <c r="G20" s="398"/>
      <c r="H20" s="398"/>
      <c r="I20" s="399"/>
      <c r="J20" s="398"/>
      <c r="K20" s="399"/>
      <c r="L20" s="398"/>
      <c r="M20" s="400"/>
      <c r="N20" s="398"/>
      <c r="O20" s="401"/>
      <c r="P20" s="402"/>
      <c r="Q20" s="403"/>
      <c r="R20" s="404"/>
      <c r="S20" s="404"/>
      <c r="T20" s="404"/>
      <c r="U20" s="405"/>
      <c r="V20" s="405"/>
      <c r="W20" s="405"/>
      <c r="X20" s="405"/>
      <c r="Y20" s="406"/>
      <c r="Z20" s="407"/>
      <c r="AA20" s="408"/>
      <c r="AB20" s="407"/>
      <c r="AC20" s="409"/>
      <c r="AD20" s="410"/>
      <c r="AE20" s="411"/>
      <c r="AF20" s="412"/>
      <c r="AG20" s="398"/>
      <c r="AH20" s="639"/>
      <c r="AI20" s="648"/>
      <c r="AJ20" s="413"/>
      <c r="AK20" s="629"/>
      <c r="AL20" s="398"/>
      <c r="AM20" s="658"/>
      <c r="AN20" s="332"/>
      <c r="AO20" s="859"/>
      <c r="AP20" s="333"/>
      <c r="AQ20" s="333"/>
      <c r="AR20" s="333"/>
      <c r="AS20" s="327"/>
      <c r="AT20" s="330"/>
      <c r="AU20" s="331"/>
      <c r="AV20" s="331"/>
      <c r="AW20" s="331"/>
      <c r="AX20" s="328"/>
    </row>
    <row r="21" spans="1:50" x14ac:dyDescent="0.2">
      <c r="A21" s="295"/>
      <c r="B21" s="340"/>
      <c r="C21" s="341"/>
      <c r="D21" s="326"/>
      <c r="E21" s="46"/>
      <c r="F21" s="46"/>
      <c r="G21" s="147"/>
      <c r="H21" s="147"/>
      <c r="I21" s="148"/>
      <c r="J21" s="147"/>
      <c r="K21" s="148"/>
      <c r="L21" s="147"/>
      <c r="M21" s="56"/>
      <c r="N21" s="147"/>
      <c r="O21" s="59"/>
      <c r="P21" s="279"/>
      <c r="Q21" s="160"/>
      <c r="R21" s="149"/>
      <c r="S21" s="149"/>
      <c r="T21" s="149"/>
      <c r="U21" s="150"/>
      <c r="V21" s="150"/>
      <c r="W21" s="150"/>
      <c r="X21" s="150"/>
      <c r="Y21" s="151"/>
      <c r="Z21" s="143"/>
      <c r="AA21" s="144"/>
      <c r="AB21" s="143"/>
      <c r="AC21" s="145"/>
      <c r="AD21" s="146"/>
      <c r="AE21" s="276"/>
      <c r="AF21" s="152"/>
      <c r="AG21" s="147"/>
      <c r="AH21" s="636"/>
      <c r="AI21" s="645"/>
      <c r="AJ21" s="269"/>
      <c r="AK21" s="626"/>
      <c r="AL21" s="147"/>
      <c r="AM21" s="636"/>
      <c r="AN21" s="683"/>
      <c r="AO21" s="685"/>
      <c r="AP21" s="684"/>
      <c r="AQ21" s="684"/>
      <c r="AR21" s="684"/>
      <c r="AS21" s="149"/>
      <c r="AT21" s="155"/>
      <c r="AU21" s="157"/>
      <c r="AV21" s="157"/>
      <c r="AW21" s="157"/>
      <c r="AX21" s="151"/>
    </row>
    <row r="22" spans="1:50" x14ac:dyDescent="0.2">
      <c r="A22" s="363" t="s">
        <v>339</v>
      </c>
      <c r="B22" s="364"/>
      <c r="C22" s="365"/>
      <c r="D22" s="366"/>
      <c r="E22" s="367"/>
      <c r="F22" s="367"/>
      <c r="G22" s="368"/>
      <c r="H22" s="368"/>
      <c r="I22" s="369"/>
      <c r="J22" s="368"/>
      <c r="K22" s="369"/>
      <c r="L22" s="368"/>
      <c r="M22" s="370"/>
      <c r="N22" s="368"/>
      <c r="O22" s="371"/>
      <c r="P22" s="372"/>
      <c r="Q22" s="373"/>
      <c r="R22" s="374"/>
      <c r="S22" s="374"/>
      <c r="T22" s="374"/>
      <c r="U22" s="375"/>
      <c r="V22" s="375"/>
      <c r="W22" s="375"/>
      <c r="X22" s="375"/>
      <c r="Y22" s="376"/>
      <c r="Z22" s="377"/>
      <c r="AA22" s="378"/>
      <c r="AB22" s="377"/>
      <c r="AC22" s="379"/>
      <c r="AD22" s="380"/>
      <c r="AE22" s="381"/>
      <c r="AF22" s="382"/>
      <c r="AG22" s="368"/>
      <c r="AH22" s="637"/>
      <c r="AI22" s="646"/>
      <c r="AJ22" s="383"/>
      <c r="AK22" s="627"/>
      <c r="AL22" s="368"/>
      <c r="AM22" s="637"/>
      <c r="AN22" s="345"/>
      <c r="AO22" s="686"/>
      <c r="AP22" s="346"/>
      <c r="AQ22" s="346"/>
      <c r="AR22" s="346"/>
      <c r="AS22" s="346"/>
      <c r="AT22" s="336"/>
      <c r="AU22" s="337"/>
      <c r="AV22" s="337"/>
      <c r="AW22" s="337"/>
      <c r="AX22" s="335"/>
    </row>
    <row r="23" spans="1:50" x14ac:dyDescent="0.2">
      <c r="A23" s="584"/>
      <c r="B23" s="585"/>
      <c r="C23" s="586"/>
      <c r="D23" s="587"/>
      <c r="E23" s="588"/>
      <c r="F23" s="588"/>
      <c r="G23" s="589"/>
      <c r="H23" s="589"/>
      <c r="I23" s="590"/>
      <c r="J23" s="589"/>
      <c r="K23" s="590"/>
      <c r="L23" s="589"/>
      <c r="M23" s="591"/>
      <c r="N23" s="589"/>
      <c r="O23" s="592"/>
      <c r="P23" s="593"/>
      <c r="Q23" s="594"/>
      <c r="R23" s="595"/>
      <c r="S23" s="595"/>
      <c r="T23" s="595"/>
      <c r="U23" s="596"/>
      <c r="V23" s="596"/>
      <c r="W23" s="596"/>
      <c r="X23" s="596"/>
      <c r="Y23" s="597"/>
      <c r="Z23" s="598"/>
      <c r="AA23" s="599"/>
      <c r="AB23" s="598"/>
      <c r="AC23" s="600"/>
      <c r="AD23" s="601"/>
      <c r="AE23" s="602"/>
      <c r="AF23" s="603"/>
      <c r="AG23" s="589"/>
      <c r="AH23" s="638"/>
      <c r="AI23" s="647"/>
      <c r="AJ23" s="604"/>
      <c r="AK23" s="628"/>
      <c r="AL23" s="589"/>
      <c r="AM23" s="657"/>
      <c r="AN23" s="605"/>
      <c r="AO23" s="858"/>
      <c r="AP23" s="606"/>
      <c r="AQ23" s="606"/>
      <c r="AR23" s="606"/>
      <c r="AS23" s="595"/>
      <c r="AT23" s="606"/>
      <c r="AU23" s="607"/>
      <c r="AV23" s="607"/>
      <c r="AW23" s="607"/>
      <c r="AX23" s="597"/>
    </row>
    <row r="24" spans="1:50" x14ac:dyDescent="0.2">
      <c r="A24" s="393" t="s">
        <v>292</v>
      </c>
      <c r="B24" s="394"/>
      <c r="C24" s="395"/>
      <c r="D24" s="396"/>
      <c r="E24" s="397"/>
      <c r="F24" s="397"/>
      <c r="G24" s="398"/>
      <c r="H24" s="398"/>
      <c r="I24" s="399"/>
      <c r="J24" s="398"/>
      <c r="K24" s="399"/>
      <c r="L24" s="398"/>
      <c r="M24" s="400"/>
      <c r="N24" s="398"/>
      <c r="O24" s="401"/>
      <c r="P24" s="402"/>
      <c r="Q24" s="403"/>
      <c r="R24" s="404"/>
      <c r="S24" s="404"/>
      <c r="T24" s="404"/>
      <c r="U24" s="405"/>
      <c r="V24" s="405"/>
      <c r="W24" s="405"/>
      <c r="X24" s="405"/>
      <c r="Y24" s="406"/>
      <c r="Z24" s="407"/>
      <c r="AA24" s="408"/>
      <c r="AB24" s="407"/>
      <c r="AC24" s="409"/>
      <c r="AD24" s="410"/>
      <c r="AE24" s="411"/>
      <c r="AF24" s="412"/>
      <c r="AG24" s="398"/>
      <c r="AH24" s="639"/>
      <c r="AI24" s="648"/>
      <c r="AJ24" s="413"/>
      <c r="AK24" s="629"/>
      <c r="AL24" s="398"/>
      <c r="AM24" s="658"/>
      <c r="AN24" s="332"/>
      <c r="AO24" s="859"/>
      <c r="AP24" s="333"/>
      <c r="AQ24" s="333"/>
      <c r="AR24" s="333"/>
      <c r="AS24" s="327"/>
      <c r="AT24" s="330"/>
      <c r="AU24" s="331"/>
      <c r="AV24" s="331"/>
      <c r="AW24" s="331"/>
      <c r="AX24" s="328"/>
    </row>
    <row r="25" spans="1:50" x14ac:dyDescent="0.2">
      <c r="A25" s="295"/>
      <c r="B25" s="340"/>
      <c r="C25" s="341"/>
      <c r="D25" s="326"/>
      <c r="E25" s="46"/>
      <c r="F25" s="46"/>
      <c r="G25" s="147"/>
      <c r="H25" s="147"/>
      <c r="I25" s="148"/>
      <c r="J25" s="147"/>
      <c r="K25" s="148"/>
      <c r="L25" s="147"/>
      <c r="M25" s="56"/>
      <c r="N25" s="147"/>
      <c r="O25" s="59"/>
      <c r="P25" s="279"/>
      <c r="Q25" s="160"/>
      <c r="R25" s="149"/>
      <c r="S25" s="149"/>
      <c r="T25" s="149"/>
      <c r="U25" s="150"/>
      <c r="V25" s="150"/>
      <c r="W25" s="150"/>
      <c r="X25" s="150"/>
      <c r="Y25" s="151"/>
      <c r="Z25" s="143"/>
      <c r="AA25" s="144"/>
      <c r="AB25" s="143"/>
      <c r="AC25" s="145"/>
      <c r="AD25" s="146"/>
      <c r="AE25" s="276"/>
      <c r="AF25" s="152"/>
      <c r="AG25" s="147"/>
      <c r="AH25" s="636"/>
      <c r="AI25" s="645"/>
      <c r="AJ25" s="269"/>
      <c r="AK25" s="626"/>
      <c r="AL25" s="147"/>
      <c r="AM25" s="655"/>
      <c r="AN25" s="154"/>
      <c r="AO25" s="156"/>
      <c r="AP25" s="155"/>
      <c r="AQ25" s="155"/>
      <c r="AR25" s="155"/>
      <c r="AS25" s="149"/>
      <c r="AT25" s="155"/>
      <c r="AU25" s="157"/>
      <c r="AV25" s="157"/>
      <c r="AW25" s="157"/>
      <c r="AX25" s="151"/>
    </row>
    <row r="26" spans="1:50" x14ac:dyDescent="0.2">
      <c r="A26" s="363" t="s">
        <v>340</v>
      </c>
      <c r="B26" s="364"/>
      <c r="C26" s="365"/>
      <c r="D26" s="366"/>
      <c r="E26" s="367"/>
      <c r="F26" s="367"/>
      <c r="G26" s="368"/>
      <c r="H26" s="368"/>
      <c r="I26" s="369"/>
      <c r="J26" s="368"/>
      <c r="K26" s="369"/>
      <c r="L26" s="368"/>
      <c r="M26" s="370"/>
      <c r="N26" s="368"/>
      <c r="O26" s="371"/>
      <c r="P26" s="372"/>
      <c r="Q26" s="373"/>
      <c r="R26" s="374"/>
      <c r="S26" s="374"/>
      <c r="T26" s="374"/>
      <c r="U26" s="375"/>
      <c r="V26" s="375"/>
      <c r="W26" s="375"/>
      <c r="X26" s="375"/>
      <c r="Y26" s="376"/>
      <c r="Z26" s="377"/>
      <c r="AA26" s="378"/>
      <c r="AB26" s="377"/>
      <c r="AC26" s="379"/>
      <c r="AD26" s="380"/>
      <c r="AE26" s="381"/>
      <c r="AF26" s="382"/>
      <c r="AG26" s="368"/>
      <c r="AH26" s="637"/>
      <c r="AI26" s="646"/>
      <c r="AJ26" s="383"/>
      <c r="AK26" s="627"/>
      <c r="AL26" s="368"/>
      <c r="AM26" s="656"/>
      <c r="AN26" s="345"/>
      <c r="AO26" s="686"/>
      <c r="AP26" s="346"/>
      <c r="AQ26" s="346"/>
      <c r="AR26" s="346"/>
      <c r="AS26" s="346"/>
      <c r="AT26" s="336"/>
      <c r="AU26" s="337"/>
      <c r="AV26" s="337"/>
      <c r="AW26" s="337"/>
      <c r="AX26" s="335"/>
    </row>
    <row r="27" spans="1:50" x14ac:dyDescent="0.2">
      <c r="A27" s="584"/>
      <c r="B27" s="585"/>
      <c r="C27" s="586"/>
      <c r="D27" s="587"/>
      <c r="E27" s="588"/>
      <c r="F27" s="588"/>
      <c r="G27" s="589"/>
      <c r="H27" s="589"/>
      <c r="I27" s="590"/>
      <c r="J27" s="589"/>
      <c r="K27" s="590"/>
      <c r="L27" s="589"/>
      <c r="M27" s="591"/>
      <c r="N27" s="589"/>
      <c r="O27" s="592"/>
      <c r="P27" s="593"/>
      <c r="Q27" s="594"/>
      <c r="R27" s="595"/>
      <c r="S27" s="595"/>
      <c r="T27" s="595"/>
      <c r="U27" s="596"/>
      <c r="V27" s="596"/>
      <c r="W27" s="596"/>
      <c r="X27" s="596"/>
      <c r="Y27" s="597"/>
      <c r="Z27" s="598"/>
      <c r="AA27" s="599"/>
      <c r="AB27" s="598"/>
      <c r="AC27" s="600"/>
      <c r="AD27" s="601"/>
      <c r="AE27" s="602"/>
      <c r="AF27" s="603"/>
      <c r="AG27" s="589"/>
      <c r="AH27" s="638"/>
      <c r="AI27" s="647"/>
      <c r="AJ27" s="604"/>
      <c r="AK27" s="628"/>
      <c r="AL27" s="589"/>
      <c r="AM27" s="657"/>
      <c r="AN27" s="605"/>
      <c r="AO27" s="858"/>
      <c r="AP27" s="606"/>
      <c r="AQ27" s="606"/>
      <c r="AR27" s="606"/>
      <c r="AS27" s="595"/>
      <c r="AT27" s="606"/>
      <c r="AU27" s="607"/>
      <c r="AV27" s="607"/>
      <c r="AW27" s="607"/>
      <c r="AX27" s="597"/>
    </row>
    <row r="28" spans="1:50" x14ac:dyDescent="0.2">
      <c r="A28" s="393" t="s">
        <v>291</v>
      </c>
      <c r="B28" s="394"/>
      <c r="C28" s="395"/>
      <c r="D28" s="396"/>
      <c r="E28" s="397"/>
      <c r="F28" s="397"/>
      <c r="G28" s="398"/>
      <c r="H28" s="398"/>
      <c r="I28" s="399"/>
      <c r="J28" s="398"/>
      <c r="K28" s="399"/>
      <c r="L28" s="398"/>
      <c r="M28" s="400"/>
      <c r="N28" s="398"/>
      <c r="O28" s="401"/>
      <c r="P28" s="402"/>
      <c r="Q28" s="403"/>
      <c r="R28" s="404"/>
      <c r="S28" s="404"/>
      <c r="T28" s="404"/>
      <c r="U28" s="405"/>
      <c r="V28" s="405"/>
      <c r="W28" s="405"/>
      <c r="X28" s="405"/>
      <c r="Y28" s="406"/>
      <c r="Z28" s="407"/>
      <c r="AA28" s="408"/>
      <c r="AB28" s="407"/>
      <c r="AC28" s="409"/>
      <c r="AD28" s="410"/>
      <c r="AE28" s="411"/>
      <c r="AF28" s="412"/>
      <c r="AG28" s="398"/>
      <c r="AH28" s="639"/>
      <c r="AI28" s="648"/>
      <c r="AJ28" s="413"/>
      <c r="AK28" s="629"/>
      <c r="AL28" s="398"/>
      <c r="AM28" s="658"/>
      <c r="AN28" s="332"/>
      <c r="AO28" s="859"/>
      <c r="AP28" s="333"/>
      <c r="AQ28" s="333"/>
      <c r="AR28" s="333"/>
      <c r="AS28" s="327"/>
      <c r="AT28" s="330"/>
      <c r="AU28" s="331"/>
      <c r="AV28" s="331"/>
      <c r="AW28" s="331"/>
      <c r="AX28" s="328"/>
    </row>
    <row r="29" spans="1:50" x14ac:dyDescent="0.2">
      <c r="A29" s="295"/>
      <c r="B29" s="340"/>
      <c r="C29" s="341"/>
      <c r="D29" s="326"/>
      <c r="E29" s="46"/>
      <c r="F29" s="46"/>
      <c r="G29" s="147"/>
      <c r="H29" s="147"/>
      <c r="I29" s="148"/>
      <c r="J29" s="147"/>
      <c r="K29" s="148"/>
      <c r="L29" s="147"/>
      <c r="M29" s="56"/>
      <c r="N29" s="147"/>
      <c r="O29" s="59"/>
      <c r="P29" s="279"/>
      <c r="Q29" s="160"/>
      <c r="R29" s="149"/>
      <c r="S29" s="149"/>
      <c r="T29" s="149"/>
      <c r="U29" s="150"/>
      <c r="V29" s="150"/>
      <c r="W29" s="150"/>
      <c r="X29" s="150"/>
      <c r="Y29" s="151"/>
      <c r="Z29" s="143"/>
      <c r="AA29" s="144"/>
      <c r="AB29" s="143"/>
      <c r="AC29" s="145"/>
      <c r="AD29" s="146"/>
      <c r="AE29" s="276"/>
      <c r="AF29" s="152"/>
      <c r="AG29" s="147"/>
      <c r="AH29" s="636"/>
      <c r="AI29" s="645"/>
      <c r="AJ29" s="269"/>
      <c r="AK29" s="626"/>
      <c r="AL29" s="147"/>
      <c r="AM29" s="655"/>
      <c r="AN29" s="154"/>
      <c r="AO29" s="156"/>
      <c r="AP29" s="155"/>
      <c r="AQ29" s="155"/>
      <c r="AR29" s="155"/>
      <c r="AS29" s="149"/>
      <c r="AT29" s="155"/>
      <c r="AU29" s="157"/>
      <c r="AV29" s="157"/>
      <c r="AW29" s="157"/>
      <c r="AX29" s="151"/>
    </row>
    <row r="30" spans="1:50" x14ac:dyDescent="0.2">
      <c r="A30" s="363" t="s">
        <v>341</v>
      </c>
      <c r="B30" s="364"/>
      <c r="C30" s="365"/>
      <c r="D30" s="366"/>
      <c r="E30" s="367"/>
      <c r="F30" s="367"/>
      <c r="G30" s="368"/>
      <c r="H30" s="368"/>
      <c r="I30" s="369"/>
      <c r="J30" s="368"/>
      <c r="K30" s="369"/>
      <c r="L30" s="368"/>
      <c r="M30" s="370"/>
      <c r="N30" s="368"/>
      <c r="O30" s="371"/>
      <c r="P30" s="372"/>
      <c r="Q30" s="373"/>
      <c r="R30" s="374"/>
      <c r="S30" s="374"/>
      <c r="T30" s="374"/>
      <c r="U30" s="375"/>
      <c r="V30" s="375"/>
      <c r="W30" s="375"/>
      <c r="X30" s="375"/>
      <c r="Y30" s="376"/>
      <c r="Z30" s="377"/>
      <c r="AA30" s="378"/>
      <c r="AB30" s="377"/>
      <c r="AC30" s="379"/>
      <c r="AD30" s="380"/>
      <c r="AE30" s="381"/>
      <c r="AF30" s="382"/>
      <c r="AG30" s="368"/>
      <c r="AH30" s="637"/>
      <c r="AI30" s="646"/>
      <c r="AJ30" s="383"/>
      <c r="AK30" s="627"/>
      <c r="AL30" s="368"/>
      <c r="AM30" s="656"/>
      <c r="AN30" s="345"/>
      <c r="AO30" s="686"/>
      <c r="AP30" s="346"/>
      <c r="AQ30" s="346"/>
      <c r="AR30" s="346"/>
      <c r="AS30" s="346"/>
      <c r="AT30" s="336"/>
      <c r="AU30" s="337"/>
      <c r="AV30" s="337"/>
      <c r="AW30" s="337"/>
      <c r="AX30" s="335"/>
    </row>
    <row r="31" spans="1:50" x14ac:dyDescent="0.2">
      <c r="A31" s="584"/>
      <c r="B31" s="585"/>
      <c r="C31" s="586"/>
      <c r="D31" s="608"/>
      <c r="E31" s="589"/>
      <c r="F31" s="589"/>
      <c r="G31" s="589"/>
      <c r="H31" s="589"/>
      <c r="I31" s="590"/>
      <c r="J31" s="589"/>
      <c r="K31" s="590"/>
      <c r="L31" s="589"/>
      <c r="M31" s="590"/>
      <c r="N31" s="590"/>
      <c r="O31" s="590"/>
      <c r="P31" s="593"/>
      <c r="Q31" s="595"/>
      <c r="R31" s="595"/>
      <c r="S31" s="595"/>
      <c r="T31" s="595"/>
      <c r="U31" s="596"/>
      <c r="V31" s="596"/>
      <c r="W31" s="596"/>
      <c r="X31" s="596"/>
      <c r="Y31" s="597"/>
      <c r="Z31" s="598"/>
      <c r="AA31" s="599"/>
      <c r="AB31" s="598"/>
      <c r="AC31" s="600"/>
      <c r="AD31" s="601"/>
      <c r="AE31" s="602"/>
      <c r="AF31" s="603"/>
      <c r="AG31" s="589"/>
      <c r="AH31" s="638"/>
      <c r="AI31" s="647"/>
      <c r="AJ31" s="604"/>
      <c r="AK31" s="628"/>
      <c r="AL31" s="589"/>
      <c r="AM31" s="657"/>
      <c r="AN31" s="609"/>
      <c r="AO31" s="861"/>
      <c r="AP31" s="595"/>
      <c r="AQ31" s="595"/>
      <c r="AR31" s="595"/>
      <c r="AS31" s="595"/>
      <c r="AT31" s="595"/>
      <c r="AU31" s="596"/>
      <c r="AV31" s="596"/>
      <c r="AW31" s="596"/>
      <c r="AX31" s="597"/>
    </row>
    <row r="32" spans="1:50" x14ac:dyDescent="0.2">
      <c r="A32" s="393" t="s">
        <v>290</v>
      </c>
      <c r="B32" s="394"/>
      <c r="C32" s="395"/>
      <c r="D32" s="396"/>
      <c r="E32" s="397"/>
      <c r="F32" s="397"/>
      <c r="G32" s="398"/>
      <c r="H32" s="398"/>
      <c r="I32" s="399"/>
      <c r="J32" s="398"/>
      <c r="K32" s="399"/>
      <c r="L32" s="398"/>
      <c r="M32" s="400"/>
      <c r="N32" s="398"/>
      <c r="O32" s="401"/>
      <c r="P32" s="402"/>
      <c r="Q32" s="403"/>
      <c r="R32" s="404"/>
      <c r="S32" s="404"/>
      <c r="T32" s="404"/>
      <c r="U32" s="405"/>
      <c r="V32" s="405"/>
      <c r="W32" s="405"/>
      <c r="X32" s="405"/>
      <c r="Y32" s="406"/>
      <c r="Z32" s="407"/>
      <c r="AA32" s="408"/>
      <c r="AB32" s="407"/>
      <c r="AC32" s="409"/>
      <c r="AD32" s="410"/>
      <c r="AE32" s="411"/>
      <c r="AF32" s="412"/>
      <c r="AG32" s="398"/>
      <c r="AH32" s="639"/>
      <c r="AI32" s="648"/>
      <c r="AJ32" s="413"/>
      <c r="AK32" s="629"/>
      <c r="AL32" s="398"/>
      <c r="AM32" s="658"/>
      <c r="AN32" s="329"/>
      <c r="AO32" s="862"/>
      <c r="AP32" s="330"/>
      <c r="AQ32" s="330"/>
      <c r="AR32" s="330"/>
      <c r="AS32" s="327"/>
      <c r="AT32" s="330"/>
      <c r="AU32" s="331"/>
      <c r="AV32" s="331"/>
      <c r="AW32" s="331"/>
      <c r="AX32" s="328"/>
    </row>
    <row r="33" spans="1:50" x14ac:dyDescent="0.2">
      <c r="A33" s="334"/>
      <c r="B33" s="340"/>
      <c r="C33" s="341"/>
      <c r="D33" s="338"/>
      <c r="E33" s="46"/>
      <c r="F33" s="46"/>
      <c r="G33" s="147"/>
      <c r="H33" s="147"/>
      <c r="I33" s="148"/>
      <c r="J33" s="147"/>
      <c r="K33" s="148"/>
      <c r="L33" s="147"/>
      <c r="M33" s="56"/>
      <c r="N33" s="148"/>
      <c r="O33" s="56"/>
      <c r="P33" s="279"/>
      <c r="Q33" s="160"/>
      <c r="R33" s="149"/>
      <c r="S33" s="149"/>
      <c r="T33" s="149"/>
      <c r="U33" s="150"/>
      <c r="V33" s="150"/>
      <c r="W33" s="150"/>
      <c r="X33" s="150"/>
      <c r="Y33" s="151"/>
      <c r="Z33" s="143"/>
      <c r="AA33" s="144"/>
      <c r="AB33" s="143"/>
      <c r="AC33" s="145"/>
      <c r="AD33" s="146"/>
      <c r="AE33" s="276"/>
      <c r="AF33" s="152"/>
      <c r="AG33" s="147"/>
      <c r="AH33" s="636"/>
      <c r="AI33" s="645"/>
      <c r="AJ33" s="269"/>
      <c r="AK33" s="626"/>
      <c r="AL33" s="147"/>
      <c r="AM33" s="655"/>
      <c r="AN33" s="154"/>
      <c r="AO33" s="156"/>
      <c r="AP33" s="155"/>
      <c r="AQ33" s="155"/>
      <c r="AR33" s="155"/>
      <c r="AS33" s="149"/>
      <c r="AT33" s="155"/>
      <c r="AU33" s="157"/>
      <c r="AV33" s="157"/>
      <c r="AW33" s="157"/>
      <c r="AX33" s="151"/>
    </row>
    <row r="34" spans="1:50" ht="12" thickBot="1" x14ac:dyDescent="0.25">
      <c r="A34" s="297"/>
      <c r="B34" s="343"/>
      <c r="C34" s="344"/>
      <c r="D34" s="161"/>
      <c r="E34" s="161"/>
      <c r="F34" s="161"/>
      <c r="G34" s="161"/>
      <c r="H34" s="161"/>
      <c r="I34" s="162"/>
      <c r="J34" s="161"/>
      <c r="K34" s="162"/>
      <c r="L34" s="161"/>
      <c r="M34" s="162"/>
      <c r="N34" s="162"/>
      <c r="O34" s="162"/>
      <c r="P34" s="280"/>
      <c r="Q34" s="163"/>
      <c r="R34" s="163"/>
      <c r="S34" s="163"/>
      <c r="T34" s="163"/>
      <c r="U34" s="164"/>
      <c r="V34" s="164"/>
      <c r="W34" s="164"/>
      <c r="X34" s="164"/>
      <c r="Y34" s="165"/>
      <c r="Z34" s="166"/>
      <c r="AA34" s="167"/>
      <c r="AB34" s="166"/>
      <c r="AC34" s="168"/>
      <c r="AD34" s="169"/>
      <c r="AE34" s="278"/>
      <c r="AF34" s="171"/>
      <c r="AG34" s="161"/>
      <c r="AH34" s="640"/>
      <c r="AI34" s="649"/>
      <c r="AJ34" s="270"/>
      <c r="AK34" s="632"/>
      <c r="AL34" s="161"/>
      <c r="AM34" s="659"/>
      <c r="AN34" s="170"/>
      <c r="AO34" s="863"/>
      <c r="AP34" s="163"/>
      <c r="AQ34" s="163"/>
      <c r="AR34" s="163"/>
      <c r="AS34" s="163"/>
      <c r="AT34" s="163"/>
      <c r="AU34" s="164"/>
      <c r="AV34" s="164"/>
      <c r="AW34" s="164"/>
      <c r="AX34"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33"/>
  <sheetViews>
    <sheetView workbookViewId="0">
      <pane xSplit="20" ySplit="6" topLeftCell="Z7" activePane="bottomRight" state="frozen"/>
      <selection pane="topRight" activeCell="U1" sqref="U1"/>
      <selection pane="bottomLeft" activeCell="A7" sqref="A7"/>
      <selection pane="bottomRight" activeCell="AF4" sqref="AF4"/>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6" width="7.12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Zware_Metalen</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IF($B$5=0,"",IF(INDEX(AK$1:AK$33,$B$5)="","",IF(AND(OR($AI5="",INGVAN="",$AI5&lt;=INGVAN),OR($AI5="",INGTOT="",$AI5&lt;=INGTOT)),1,0)))</f>
        <v/>
      </c>
      <c r="AL1" s="184" t="str">
        <f ca="1">IF($B$5=0,"",IF(INDEX(AK$1:AK$33,$B$5)="","",IF(AND(OR($AJ5="",INGVAN="",$AJ5&gt;=INGVAN),OR($AJ5="",INGTOT="",$AJ5&gt;=INGTOT)),1,0)))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126</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Zware_Metalen</v>
      </c>
      <c r="AG3" s="129" t="s">
        <v>165</v>
      </c>
      <c r="AH3" s="633" t="s">
        <v>356</v>
      </c>
      <c r="AI3" s="642" t="s">
        <v>358</v>
      </c>
      <c r="AJ3" s="282" t="s">
        <v>359</v>
      </c>
      <c r="AK3" s="624" t="s">
        <v>251</v>
      </c>
      <c r="AL3" s="130" t="s">
        <v>183</v>
      </c>
      <c r="AM3" s="652" t="s">
        <v>209</v>
      </c>
      <c r="AN3" s="530" t="s">
        <v>534</v>
      </c>
      <c r="AO3" s="853"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IF(AND(AF5="",AF6=""),"",CONCATENATE(ROUND((100-IF(AF6="",0,ABRAND2))/100*IF(AF5="",0,AF5*(21-AG4)/(21-AG5))+IF(AF5="",100,ABRAND2)/100*IF(AF6="",0,AF6*(21-AG4)/(21-AG6)),2)," ",IF(A2="","",A2)," bij ",AG4," vol% O₂"))</f>
        <v/>
      </c>
      <c r="AG4" s="208" t="str">
        <f ca="1">IF(AG5="",AG6,AG5)</f>
        <v/>
      </c>
      <c r="AH4" s="634" t="str">
        <f ca="1">IF($C$6=0,AH5,IF($B$5=0,AH6,IF($B$5&lt;$C$6,AH5,AH6)))</f>
        <v/>
      </c>
      <c r="AI4" s="643"/>
      <c r="AJ4" s="208"/>
      <c r="AK4" s="696"/>
      <c r="AL4" s="208"/>
      <c r="AM4" s="653" t="str">
        <f ca="1">IF($C$6=0,AM5,IF($B$5=0,AM6,IF($B$5&lt;$C$6,AM5,AM6)))</f>
        <v/>
      </c>
      <c r="AN4" s="209"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54" t="str">
        <f t="shared" ref="AO4:AS4" ca="1" si="7">IF($C$6=0,AO5,IF($B$5=0,AO6,IF($B$5&lt;$C$6,AO5,AO6)))</f>
        <v/>
      </c>
      <c r="AP4" s="210" t="str">
        <f t="shared" ca="1" si="7"/>
        <v/>
      </c>
      <c r="AQ4" s="210" t="str">
        <f t="shared" ca="1" si="7"/>
        <v/>
      </c>
      <c r="AR4" s="211" t="str">
        <f t="shared" ca="1" si="7"/>
        <v/>
      </c>
      <c r="AS4" s="210" t="str">
        <f t="shared" ca="1" si="7"/>
        <v/>
      </c>
      <c r="AT4" s="210" t="str">
        <f t="shared" ref="AT4" ca="1" si="8">IF($C$6=0,AT5,IF($B$5=0,AT6,IF($B$5&lt;$C$6,AT5,AT6)))</f>
        <v/>
      </c>
      <c r="AU4" s="212"/>
      <c r="AV4" s="212"/>
      <c r="AW4" s="212"/>
      <c r="AX4" s="213" t="str">
        <f ca="1">AW2</f>
        <v/>
      </c>
    </row>
    <row r="5" spans="1:50" x14ac:dyDescent="0.2">
      <c r="A5" s="181" t="s">
        <v>29</v>
      </c>
      <c r="B5" s="192">
        <f ca="1">IF(Geldig,MAX(B8:B33),0)</f>
        <v>0</v>
      </c>
      <c r="C5" s="195"/>
      <c r="D5" s="192" t="str">
        <f t="shared" ref="D5:AF5" ca="1" si="9">IF($B$5=0,"",IF(INDEX(D$1:D$33,$B$5)="","",INDEX(D$1:D$33,$B$5)))</f>
        <v/>
      </c>
      <c r="E5" s="193" t="str">
        <f t="shared" ca="1" si="9"/>
        <v/>
      </c>
      <c r="F5" s="193" t="str">
        <f t="shared" ca="1" si="9"/>
        <v/>
      </c>
      <c r="G5" s="193" t="str">
        <f t="shared" ca="1" si="9"/>
        <v/>
      </c>
      <c r="H5" s="193" t="str">
        <f t="shared" ca="1" si="9"/>
        <v/>
      </c>
      <c r="I5" s="194" t="str">
        <f t="shared" ca="1" si="9"/>
        <v/>
      </c>
      <c r="J5" s="193" t="str">
        <f t="shared" ca="1" si="9"/>
        <v/>
      </c>
      <c r="K5" s="194" t="str">
        <f t="shared" ca="1" si="9"/>
        <v/>
      </c>
      <c r="L5" s="193" t="str">
        <f t="shared" ca="1" si="9"/>
        <v/>
      </c>
      <c r="M5" s="194" t="str">
        <f t="shared" ca="1" si="9"/>
        <v/>
      </c>
      <c r="N5" s="194" t="str">
        <f t="shared" ca="1" si="9"/>
        <v/>
      </c>
      <c r="O5" s="195" t="str">
        <f t="shared" ca="1" si="9"/>
        <v/>
      </c>
      <c r="P5" s="187" t="str">
        <f t="shared" ca="1" si="9"/>
        <v/>
      </c>
      <c r="Q5" s="214" t="str">
        <f t="shared" ca="1" si="9"/>
        <v/>
      </c>
      <c r="R5" s="214" t="str">
        <f t="shared" ca="1" si="9"/>
        <v/>
      </c>
      <c r="S5" s="214" t="str">
        <f t="shared" ca="1" si="9"/>
        <v/>
      </c>
      <c r="T5" s="214" t="str">
        <f t="shared" ca="1" si="9"/>
        <v/>
      </c>
      <c r="U5" s="214" t="str">
        <f t="shared" ca="1" si="9"/>
        <v/>
      </c>
      <c r="V5" s="215" t="str">
        <f t="shared" ca="1" si="9"/>
        <v/>
      </c>
      <c r="W5" s="215" t="str">
        <f t="shared" ca="1" si="9"/>
        <v/>
      </c>
      <c r="X5" s="215" t="str">
        <f t="shared" ca="1" si="9"/>
        <v/>
      </c>
      <c r="Y5" s="216" t="str">
        <f t="shared" ca="1" si="9"/>
        <v/>
      </c>
      <c r="Z5" s="217" t="str">
        <f t="shared" ca="1" si="9"/>
        <v/>
      </c>
      <c r="AA5" s="218" t="str">
        <f t="shared" ca="1" si="9"/>
        <v/>
      </c>
      <c r="AB5" s="217" t="str">
        <f t="shared" ca="1" si="9"/>
        <v/>
      </c>
      <c r="AC5" s="219" t="str">
        <f t="shared" ca="1" si="9"/>
        <v/>
      </c>
      <c r="AD5" s="220" t="str">
        <f t="shared" ca="1" si="9"/>
        <v/>
      </c>
      <c r="AE5" s="221" t="str">
        <f t="shared" ca="1" si="9"/>
        <v/>
      </c>
      <c r="AF5" s="222" t="str">
        <f t="shared" ca="1" si="9"/>
        <v/>
      </c>
      <c r="AG5" s="223" t="str">
        <f ca="1">IF($B$5=0,"",IF(INDEX(AG$1:AG$33,$B$5)="",O2BRAND1,INDEX(AG$1:AG$33,$B$5)))</f>
        <v/>
      </c>
      <c r="AH5" s="225" t="str">
        <f ca="1">IF($B$5=0,"",IF(INDEX(AH$1:AH$33,$B$5)="","",INDEX(AH$1:AH$33,$B$5)))</f>
        <v/>
      </c>
      <c r="AI5" s="661" t="str">
        <f ca="1">IF($B$5=0,"",IF(INDEX(AI$1:AI$33,$B$5)="","",INDEX(AI$1:AI$33,$B$5)))</f>
        <v/>
      </c>
      <c r="AJ5" s="218" t="str">
        <f ca="1">IF($B$5=0,"",IF(INDEX(AJ$1:AJ$33,$B$5)="","",INDEX(AJ$1:AJ$33,$B$5)))</f>
        <v/>
      </c>
      <c r="AK5" s="651" t="str">
        <f ca="1">IF($B$5=0,"",IF(INDEX(AK$1:AK$33,$B$5)="","",IF(AND(OR($AI5="",INGVAN="",$AI5&lt;=INGVAN),OR($AI5="",INGTOT="",$AI5&lt;=INGTOT),OR($AJ5="",INGVAN="",$AJ5&gt;=INGVAN),OR($AJ5="",INGTOT="",$AJ5&gt;=INGTOT)),INDEX(AK$1:AK$33,$B$5),"")))</f>
        <v/>
      </c>
      <c r="AL5" s="223" t="str">
        <f ca="1">IF($B$5=0,"",IF(INDEX(AL$1:AL$33,$B$5)="","",IF(AND(OR($AI5="",INGVAN="",$AI5&lt;=INGVAN),OR($AI5="",INGTOT="",$AI5&lt;=INGTOT),OR($AJ5="",INGVAN="",$AJ5&gt;=INGVAN),OR($AJ5="",INGTOT="",$AJ5&gt;=INGTOT)),INDEX(AL$1:AL$33,$B$5),"")))</f>
        <v/>
      </c>
      <c r="AM5" s="224" t="str">
        <f ca="1">IF($B$5=0,"",IF(INDEX(AM$1:AM$33,$B$5)="","",IF(AND(OR($AI5="",INGVAN="",$AI5&lt;=INGVAN),OR($AI5="",INGTOT="",$AI5&lt;=INGTOT),OR($AJ5="",INGVAN="",$AJ5&gt;=INGVAN),OR($AJ5="",INGTOT="",$AJ5&gt;=INGTOT)),INDEX(AM$1:AM$33,$B$5),"")))</f>
        <v/>
      </c>
      <c r="AN5" s="226"/>
      <c r="AO5" s="855" t="str">
        <f t="shared" ref="AO5:AW5" ca="1" si="10">IF($B$5=0,"",IF(INDEX(AO$1:AO$33,$B$5)="","",INDEX(AO$1:AO$33,$B$5)))</f>
        <v/>
      </c>
      <c r="AP5" s="227" t="str">
        <f t="shared" ca="1" si="10"/>
        <v/>
      </c>
      <c r="AQ5" s="227" t="str">
        <f t="shared" ca="1" si="10"/>
        <v/>
      </c>
      <c r="AR5" s="227" t="str">
        <f t="shared" ca="1" si="10"/>
        <v/>
      </c>
      <c r="AS5" s="227" t="str">
        <f t="shared" ca="1" si="10"/>
        <v/>
      </c>
      <c r="AT5" s="227" t="str">
        <f t="shared" ca="1" si="10"/>
        <v/>
      </c>
      <c r="AU5" s="227" t="str">
        <f t="shared" ca="1" si="10"/>
        <v/>
      </c>
      <c r="AV5" s="227" t="str">
        <f t="shared" ca="1" si="10"/>
        <v/>
      </c>
      <c r="AW5" s="227" t="str">
        <f t="shared" ca="1" si="10"/>
        <v/>
      </c>
      <c r="AX5" s="228"/>
    </row>
    <row r="6" spans="1:50" ht="12" thickBot="1" x14ac:dyDescent="0.25">
      <c r="A6" s="182" t="s">
        <v>30</v>
      </c>
      <c r="B6" s="190"/>
      <c r="C6" s="191">
        <f ca="1">MAX(C8:C33)</f>
        <v>0</v>
      </c>
      <c r="D6" s="196" t="str">
        <f t="shared" ref="D6:AF6" ca="1" si="11">IF($C$6=0,"",IF(INDEX(D$1:D$33,$C$6)="","",INDEX(D$1:D$33,$C$6)))</f>
        <v/>
      </c>
      <c r="E6" s="196" t="str">
        <f t="shared" ca="1" si="11"/>
        <v/>
      </c>
      <c r="F6" s="196" t="str">
        <f t="shared" ca="1" si="11"/>
        <v/>
      </c>
      <c r="G6" s="196" t="str">
        <f t="shared" ca="1" si="11"/>
        <v/>
      </c>
      <c r="H6" s="196" t="str">
        <f t="shared" ca="1" si="11"/>
        <v/>
      </c>
      <c r="I6" s="197" t="str">
        <f t="shared" ca="1" si="11"/>
        <v/>
      </c>
      <c r="J6" s="196" t="str">
        <f t="shared" ca="1" si="11"/>
        <v/>
      </c>
      <c r="K6" s="197" t="str">
        <f t="shared" ca="1" si="11"/>
        <v/>
      </c>
      <c r="L6" s="196" t="str">
        <f t="shared" ca="1" si="11"/>
        <v/>
      </c>
      <c r="M6" s="197" t="str">
        <f t="shared" ca="1" si="11"/>
        <v/>
      </c>
      <c r="N6" s="197" t="str">
        <f t="shared" ca="1" si="11"/>
        <v/>
      </c>
      <c r="O6" s="197" t="str">
        <f t="shared" ca="1" si="11"/>
        <v/>
      </c>
      <c r="P6" s="229" t="str">
        <f t="shared" ca="1" si="11"/>
        <v/>
      </c>
      <c r="Q6" s="230" t="str">
        <f t="shared" ca="1" si="11"/>
        <v/>
      </c>
      <c r="R6" s="230" t="str">
        <f t="shared" ca="1" si="11"/>
        <v/>
      </c>
      <c r="S6" s="230" t="str">
        <f t="shared" ca="1" si="11"/>
        <v/>
      </c>
      <c r="T6" s="230" t="str">
        <f t="shared" ca="1" si="11"/>
        <v/>
      </c>
      <c r="U6" s="230" t="str">
        <f t="shared" ca="1" si="11"/>
        <v/>
      </c>
      <c r="V6" s="231" t="str">
        <f t="shared" ca="1" si="11"/>
        <v/>
      </c>
      <c r="W6" s="231" t="str">
        <f t="shared" ca="1" si="11"/>
        <v/>
      </c>
      <c r="X6" s="231" t="str">
        <f t="shared" ca="1" si="11"/>
        <v/>
      </c>
      <c r="Y6" s="232" t="str">
        <f t="shared" ca="1" si="11"/>
        <v/>
      </c>
      <c r="Z6" s="233" t="str">
        <f t="shared" ca="1" si="11"/>
        <v/>
      </c>
      <c r="AA6" s="234" t="str">
        <f t="shared" ca="1" si="11"/>
        <v/>
      </c>
      <c r="AB6" s="233" t="str">
        <f t="shared" ca="1" si="11"/>
        <v/>
      </c>
      <c r="AC6" s="235" t="str">
        <f t="shared" ca="1" si="11"/>
        <v/>
      </c>
      <c r="AD6" s="236" t="str">
        <f t="shared" ca="1" si="11"/>
        <v/>
      </c>
      <c r="AE6" s="237" t="str">
        <f t="shared" ca="1" si="11"/>
        <v/>
      </c>
      <c r="AF6" s="196" t="str">
        <f t="shared" ca="1" si="11"/>
        <v/>
      </c>
      <c r="AG6" s="238" t="str">
        <f ca="1">IF($C$6=0,"",IF(INDEX(AG$1:AG$33,$C$6)="",O2BRAND2,INDEX(AG$1:AG$33,$C$6)))</f>
        <v/>
      </c>
      <c r="AH6" s="239" t="str">
        <f ca="1">IF($C$6=0,"",IF(INDEX(AH$1:AH$33,$C$6)="","",INDEX(AH$1:AH$33,$C$6)))</f>
        <v/>
      </c>
      <c r="AI6" s="662" t="str">
        <f ca="1">IF($C$6=0,"",IF(INDEX(AI$1:AI$33,$C$6)="","",INDEX(AI$1:AI$33,$C$6)))</f>
        <v/>
      </c>
      <c r="AJ6" s="234" t="str">
        <f ca="1">IF($C$6=0,"",IF(INDEX(AJ$1:AJ$33,$C$6)="","",INDEX(AJ$1:AJ$33,$C$6)))</f>
        <v/>
      </c>
      <c r="AK6" s="672" t="str">
        <f ca="1">IF($C$6=0,"",IF(INDEX(AK$1:AK$33,$C$6)="","",IF(AND(OR($AI6="",INGVAN="",$AI6&lt;=INGVAN),OR($AI6="",INGTOT="",$AI6&lt;=INGTOT),OR($AJ6="",INGVAN="",$AJ6&gt;=INGVAN),OR($AJ6="",INGTOT="",$AJ6&gt;=INGTOT)),INDEX(AK$1:AK$33,$C$6),"")))</f>
        <v/>
      </c>
      <c r="AL6" s="238" t="str">
        <f ca="1">IF($C$6=0,"",IF(INDEX(AL$1:AL$33,$C$6)="","",IF(AND(OR($AI6="",INGVAN="",$AI6&lt;=INGVAN),OR($AI6="",INGTOT="",$AI6&lt;=INGTOT),OR($AJ6="",INGVAN="",$AJ6&gt;=INGVAN),OR($AJ6="",INGTOT="",$AJ6&gt;=INGTOT)),INDEX(AL$1:AL$33,$C$6),"")))</f>
        <v/>
      </c>
      <c r="AM6" s="673" t="str">
        <f ca="1">IF($C$6=0,"",IF(INDEX(AM$1:AM$33,$C$6)="","",IF(AND(OR($AI6="",INGVAN="",$AI6&lt;=INGVAN),OR($AI6="",INGTOT="",$AI6&lt;=INGTOT),OR($AJ6="",INGVAN="",$AJ6&gt;=INGVAN),OR($AJ6="",INGTOT="",$AJ6&gt;=INGTOT)),INDEX(AM$1:AM$33,$C$6),"")))</f>
        <v/>
      </c>
      <c r="AN6" s="240"/>
      <c r="AO6" s="856" t="str">
        <f t="shared" ref="AO6:AW6" ca="1" si="12">IF($C$6=0,"",IF(INDEX(AO$1:AO$33,$C$6)="","",INDEX(AO$1:AO$33,$C$6)))</f>
        <v/>
      </c>
      <c r="AP6" s="241" t="str">
        <f t="shared" ca="1" si="12"/>
        <v/>
      </c>
      <c r="AQ6" s="241" t="str">
        <f t="shared" ca="1" si="12"/>
        <v/>
      </c>
      <c r="AR6" s="241" t="str">
        <f t="shared" ca="1" si="12"/>
        <v/>
      </c>
      <c r="AS6" s="241" t="str">
        <f t="shared" ca="1" si="12"/>
        <v/>
      </c>
      <c r="AT6" s="241" t="str">
        <f t="shared" ca="1" si="12"/>
        <v/>
      </c>
      <c r="AU6" s="241" t="str">
        <f t="shared" ca="1" si="12"/>
        <v/>
      </c>
      <c r="AV6" s="241" t="str">
        <f t="shared" ca="1" si="12"/>
        <v/>
      </c>
      <c r="AW6" s="241" t="str">
        <f t="shared" ca="1" si="12"/>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322"/>
      <c r="AO7" s="857" t="s">
        <v>431</v>
      </c>
      <c r="AP7" s="323" t="s">
        <v>432</v>
      </c>
      <c r="AQ7" s="323"/>
      <c r="AR7" s="323" t="s">
        <v>443</v>
      </c>
      <c r="AS7" s="323"/>
      <c r="AT7" s="320"/>
      <c r="AU7" s="321"/>
      <c r="AV7" s="321"/>
      <c r="AW7" s="321"/>
      <c r="AX7" s="319"/>
    </row>
    <row r="8" spans="1:50" x14ac:dyDescent="0.2">
      <c r="A8" s="295"/>
      <c r="B8" s="339">
        <f t="shared" ref="B8:B13" ca="1" si="13">IF(AND(SUM(D8:K8,L8:M8)=COUNT(D8:K8,L8:M8),COUNT(D8:K8,L8:M8)&gt;0),ROW(B8),0)</f>
        <v>0</v>
      </c>
      <c r="C8" s="249">
        <f t="shared" ref="C8:C13" ca="1" si="14">IF(AND(SUM(D8:K8,N8:O8)=COUNT(D8:K8,N8:O8),COUNT(D8:K8,N8:O8)&gt;0),ROW(B8),0)</f>
        <v>0</v>
      </c>
      <c r="D8" s="246">
        <f ca="1">IF(AND(OR($Z8="",INGVAN="",$Z8&lt;=INGVAN),OR($Z8="",INGTOT="",$Z8&lt;=INGTOT),OR($AA8="",INGVAN="",$AA8&gt;=INGVAN),OR($AA8="",INGTOT="",$AA8&gt;=INGTOT)),1,0)</f>
        <v>1</v>
      </c>
      <c r="E8" s="247">
        <f t="shared" ref="E8:E13" ca="1" si="15">IF(AND(OR($AB8="",Tdatum&gt;=$AB8,AND(AB8&lt;&gt;"",ISNUMBER(FIND("j",LOWER(AD8))))),OR($AC8="",Tdatum&lt;=$AC8)),1,0)</f>
        <v>1</v>
      </c>
      <c r="F8" s="247">
        <f t="shared" ref="F8:F13" ca="1" si="16">IF(AND(OR($S8="",MW&gt;=$S8),OR($T8="",$T8&gt;MW)),1,0)</f>
        <v>1</v>
      </c>
      <c r="G8" s="147">
        <f ca="1">IF(Afvalvernietiging,1,0)</f>
        <v>0</v>
      </c>
      <c r="H8" s="147"/>
      <c r="I8" s="147"/>
      <c r="J8" s="147"/>
      <c r="K8" s="148"/>
      <c r="L8" s="147">
        <f ca="1">IF(OR(TBRAND1=3,AND(G8=1,N8=0)),1,0)</f>
        <v>0</v>
      </c>
      <c r="M8" s="248">
        <f t="shared" ref="M8" ca="1" si="17">IF(AND(ParBAL1&lt;&gt;"",ParBAL1=P8),1,0)</f>
        <v>0</v>
      </c>
      <c r="N8" s="147">
        <f ca="1">IF(TBRAND2=3,1,0)</f>
        <v>0</v>
      </c>
      <c r="O8" s="249">
        <f t="shared" ref="O8" ca="1" si="18">IF(AND(ParBAL2&lt;&gt;"",ParBAL2=P8),1,0)</f>
        <v>0</v>
      </c>
      <c r="P8" s="279" t="s">
        <v>39</v>
      </c>
      <c r="Q8" s="149" t="s">
        <v>48</v>
      </c>
      <c r="R8" s="149" t="s">
        <v>265</v>
      </c>
      <c r="S8" s="149"/>
      <c r="T8" s="149"/>
      <c r="U8" s="150"/>
      <c r="V8" s="150"/>
      <c r="W8" s="150"/>
      <c r="X8" s="150"/>
      <c r="Y8" s="151"/>
      <c r="Z8" s="143"/>
      <c r="AA8" s="144"/>
      <c r="AB8" s="143"/>
      <c r="AC8" s="145"/>
      <c r="AD8" s="146"/>
      <c r="AE8" s="276" t="s">
        <v>121</v>
      </c>
      <c r="AF8" s="152" t="s">
        <v>433</v>
      </c>
      <c r="AG8" s="147"/>
      <c r="AH8" s="636"/>
      <c r="AI8" s="645"/>
      <c r="AJ8" s="269"/>
      <c r="AK8" s="626"/>
      <c r="AL8" s="147"/>
      <c r="AM8" s="655"/>
      <c r="AN8" s="324"/>
      <c r="AO8" s="349" t="str">
        <f>AO$7</f>
        <v xml:space="preserve">Op grond van artikel 4.81 1e lid geldt een halfjaarlijkse periodieke meetverplichting. Op basis van het atikel 4.81 2e of 5e lid kan een afwijkende meetfrequentie van toepassing zijn. </v>
      </c>
      <c r="AP8" s="325" t="str">
        <f t="shared" ref="AP8:AR13" si="19">AP$7</f>
        <v>Een periodieke meting bestaat uit één deelmeting van ten minste 30 minuten en ten hoogste acht uur. De metingen worden uitgevoerd door een geaccrediteerd laboratorium volgens NEN-EN 14385 (art. 4.78 en 4.84).</v>
      </c>
      <c r="AQ8" s="325"/>
      <c r="AR8" s="325" t="str">
        <f t="shared" si="19"/>
        <v>De installatie voldoet aan de gestelde emissie-eis als gevalideerde meetresultaten lager dan de emissie-eis zijn (art. 4.90). Een gevalideerde waarde is de waarde nadat de aangetoonde meetonzekerheid in mindering is gebracht.</v>
      </c>
      <c r="AS8" s="325"/>
      <c r="AT8" s="149"/>
      <c r="AU8" s="150"/>
      <c r="AV8" s="150"/>
      <c r="AW8" s="150"/>
      <c r="AX8" s="151"/>
    </row>
    <row r="9" spans="1:50" x14ac:dyDescent="0.2">
      <c r="A9" s="295"/>
      <c r="B9" s="339">
        <f t="shared" ca="1" si="13"/>
        <v>0</v>
      </c>
      <c r="C9" s="249">
        <f t="shared" ca="1" si="14"/>
        <v>0</v>
      </c>
      <c r="D9" s="246">
        <f ca="1">IF(AND(OR($Z9="",INGVAN="",$Z9&lt;=INGVAN),OR($Z9="",INGTOT="",$Z9&lt;=INGTOT),OR($AA9="",INGVAN="",$AA9&gt;=INGVAN),OR($AA9="",INGTOT="",$AA9&gt;=INGTOT)),1,0)</f>
        <v>1</v>
      </c>
      <c r="E9" s="247">
        <f t="shared" ca="1" si="15"/>
        <v>1</v>
      </c>
      <c r="F9" s="247">
        <f t="shared" ca="1" si="16"/>
        <v>0</v>
      </c>
      <c r="G9" s="147">
        <f ca="1">IF(EnergieUitAfval,1,0)</f>
        <v>0</v>
      </c>
      <c r="H9" s="147"/>
      <c r="I9" s="147"/>
      <c r="J9" s="147"/>
      <c r="K9" s="148"/>
      <c r="L9" s="147">
        <f ca="1">IF(TBRAND1=3,1,0)</f>
        <v>0</v>
      </c>
      <c r="M9" s="248">
        <f t="shared" ref="M9:M10" ca="1" si="20">IF(AND(ParBAL1&lt;&gt;"",ParBAL1=P9),1,0)</f>
        <v>0</v>
      </c>
      <c r="N9" s="147">
        <f ca="1">IF(TBRAND2=3,1,0)</f>
        <v>0</v>
      </c>
      <c r="O9" s="249">
        <f t="shared" ref="O9:O10" ca="1" si="21">IF(AND(ParBAL2&lt;&gt;"",ParBAL2=P9),1,0)</f>
        <v>0</v>
      </c>
      <c r="P9" s="279" t="s">
        <v>39</v>
      </c>
      <c r="Q9" s="149" t="s">
        <v>429</v>
      </c>
      <c r="R9" s="149" t="s">
        <v>46</v>
      </c>
      <c r="S9" s="149">
        <v>50</v>
      </c>
      <c r="T9" s="149"/>
      <c r="U9" s="150"/>
      <c r="V9" s="150"/>
      <c r="W9" s="150"/>
      <c r="X9" s="150"/>
      <c r="Y9" s="151"/>
      <c r="Z9" s="143"/>
      <c r="AA9" s="144"/>
      <c r="AB9" s="143"/>
      <c r="AC9" s="145"/>
      <c r="AD9" s="146"/>
      <c r="AE9" s="276" t="s">
        <v>416</v>
      </c>
      <c r="AF9" s="152" t="s">
        <v>433</v>
      </c>
      <c r="AG9" s="147">
        <v>6</v>
      </c>
      <c r="AH9" s="636"/>
      <c r="AI9" s="645"/>
      <c r="AJ9" s="269"/>
      <c r="AK9" s="626"/>
      <c r="AL9" s="147"/>
      <c r="AM9" s="655"/>
      <c r="AN9" s="324"/>
      <c r="AO9" s="349" t="str">
        <f t="shared" ref="AO9:AO13" si="22">AO$7</f>
        <v xml:space="preserve">Op grond van artikel 4.81 1e lid geldt een halfjaarlijkse periodieke meetverplichting. Op basis van het atikel 4.81 2e of 5e lid kan een afwijkende meetfrequentie van toepassing zijn. </v>
      </c>
      <c r="AP9" s="325" t="str">
        <f t="shared" si="19"/>
        <v>Een periodieke meting bestaat uit één deelmeting van ten minste 30 minuten en ten hoogste acht uur. De metingen worden uitgevoerd door een geaccrediteerd laboratorium volgens NEN-EN 14385 (art. 4.78 en 4.84).</v>
      </c>
      <c r="AQ9" s="325"/>
      <c r="AR9" s="325" t="str">
        <f t="shared" si="19"/>
        <v>De installatie voldoet aan de gestelde emissie-eis als gevalideerde meetresultaten lager dan de emissie-eis zijn (art. 4.90). Een gevalideerde waarde is de waarde nadat de aangetoonde meetonzekerheid in mindering is gebracht.</v>
      </c>
      <c r="AS9" s="325"/>
      <c r="AT9" s="155"/>
      <c r="AU9" s="157"/>
      <c r="AV9" s="157"/>
      <c r="AW9" s="157"/>
      <c r="AX9" s="158"/>
    </row>
    <row r="10" spans="1:50" x14ac:dyDescent="0.2">
      <c r="A10" s="295"/>
      <c r="B10" s="339">
        <f t="shared" ca="1" si="13"/>
        <v>0</v>
      </c>
      <c r="C10" s="249">
        <f t="shared" ca="1" si="14"/>
        <v>0</v>
      </c>
      <c r="D10" s="246">
        <f ca="1">IF(AND(OR($Z10="",INGVAN="",$Z10&lt;=INGVAN),OR($Z10="",INGTOT="",$Z10&lt;=INGTOT),OR($AA10="",INGVAN="",$AA10&gt;=INGVAN),OR($AA10="",INGTOT="",$AA10&gt;=INGTOT)),1,0)</f>
        <v>1</v>
      </c>
      <c r="E10" s="247">
        <f t="shared" ca="1" si="15"/>
        <v>1</v>
      </c>
      <c r="F10" s="247">
        <f t="shared" ca="1" si="16"/>
        <v>1</v>
      </c>
      <c r="G10" s="147">
        <f ca="1">IF(SI=17,1,0)</f>
        <v>0</v>
      </c>
      <c r="H10" s="148"/>
      <c r="I10" s="147"/>
      <c r="J10" s="159"/>
      <c r="K10" s="148"/>
      <c r="L10" s="147">
        <f ca="1">IF(TBRAND1=3,1,0)</f>
        <v>0</v>
      </c>
      <c r="M10" s="248">
        <f t="shared" ca="1" si="20"/>
        <v>0</v>
      </c>
      <c r="N10" s="147">
        <f ca="1">IF(TBRAND2=3,1,0)</f>
        <v>0</v>
      </c>
      <c r="O10" s="249">
        <f t="shared" ca="1" si="21"/>
        <v>0</v>
      </c>
      <c r="P10" s="279" t="s">
        <v>39</v>
      </c>
      <c r="Q10" s="160" t="s">
        <v>128</v>
      </c>
      <c r="R10" s="149"/>
      <c r="S10" s="149"/>
      <c r="T10" s="149"/>
      <c r="U10" s="150"/>
      <c r="V10" s="150"/>
      <c r="W10" s="150"/>
      <c r="X10" s="150"/>
      <c r="Y10" s="151"/>
      <c r="Z10" s="143"/>
      <c r="AA10" s="144"/>
      <c r="AB10" s="143"/>
      <c r="AC10" s="145"/>
      <c r="AD10" s="146"/>
      <c r="AE10" s="276" t="s">
        <v>130</v>
      </c>
      <c r="AF10" s="152" t="s">
        <v>434</v>
      </c>
      <c r="AG10" s="147"/>
      <c r="AH10" s="636"/>
      <c r="AI10" s="645"/>
      <c r="AJ10" s="269"/>
      <c r="AK10" s="626"/>
      <c r="AL10" s="147"/>
      <c r="AM10" s="655"/>
      <c r="AN10" s="324"/>
      <c r="AO10" s="349" t="str">
        <f t="shared" si="22"/>
        <v xml:space="preserve">Op grond van artikel 4.81 1e lid geldt een halfjaarlijkse periodieke meetverplichting. Op basis van het atikel 4.81 2e of 5e lid kan een afwijkende meetfrequentie van toepassing zijn. </v>
      </c>
      <c r="AP10" s="325" t="str">
        <f t="shared" si="19"/>
        <v>Een periodieke meting bestaat uit één deelmeting van ten minste 30 minuten en ten hoogste acht uur. De metingen worden uitgevoerd door een geaccrediteerd laboratorium volgens NEN-EN 14385 (art. 4.78 en 4.84).</v>
      </c>
      <c r="AQ10" s="325"/>
      <c r="AR10" s="325" t="str">
        <f t="shared" si="19"/>
        <v>De installatie voldoet aan de gestelde emissie-eis als gevalideerde meetresultaten lager dan de emissie-eis zijn (art. 4.90). Een gevalideerde waarde is de waarde nadat de aangetoonde meetonzekerheid in mindering is gebracht.</v>
      </c>
      <c r="AS10" s="325"/>
      <c r="AT10" s="155"/>
      <c r="AU10" s="157"/>
      <c r="AV10" s="157"/>
      <c r="AW10" s="157"/>
      <c r="AX10" s="151"/>
    </row>
    <row r="11" spans="1:50" x14ac:dyDescent="0.2">
      <c r="A11" s="295"/>
      <c r="B11" s="340"/>
      <c r="C11" s="341"/>
      <c r="D11" s="326"/>
      <c r="E11" s="46"/>
      <c r="F11" s="46"/>
      <c r="G11" s="147"/>
      <c r="H11" s="147"/>
      <c r="I11" s="148"/>
      <c r="J11" s="147"/>
      <c r="K11" s="148"/>
      <c r="L11" s="147"/>
      <c r="M11" s="56"/>
      <c r="N11" s="147"/>
      <c r="O11" s="59"/>
      <c r="P11" s="279"/>
      <c r="Q11" s="160"/>
      <c r="R11" s="149"/>
      <c r="S11" s="149"/>
      <c r="T11" s="149"/>
      <c r="U11" s="150"/>
      <c r="V11" s="150"/>
      <c r="W11" s="150"/>
      <c r="X11" s="150"/>
      <c r="Y11" s="151"/>
      <c r="Z11" s="143"/>
      <c r="AA11" s="144"/>
      <c r="AB11" s="143"/>
      <c r="AC11" s="145"/>
      <c r="AD11" s="146"/>
      <c r="AE11" s="276"/>
      <c r="AF11" s="152"/>
      <c r="AG11" s="147"/>
      <c r="AH11" s="636"/>
      <c r="AI11" s="645"/>
      <c r="AJ11" s="269"/>
      <c r="AK11" s="626"/>
      <c r="AL11" s="147"/>
      <c r="AM11" s="655"/>
      <c r="AN11" s="683"/>
      <c r="AO11" s="685"/>
      <c r="AP11" s="684"/>
      <c r="AQ11" s="684"/>
      <c r="AR11" s="684"/>
      <c r="AS11" s="149"/>
      <c r="AT11" s="155"/>
      <c r="AU11" s="157"/>
      <c r="AV11" s="157"/>
      <c r="AW11" s="157"/>
      <c r="AX11" s="151"/>
    </row>
    <row r="12" spans="1:50" x14ac:dyDescent="0.2">
      <c r="A12" s="363" t="s">
        <v>337</v>
      </c>
      <c r="B12" s="364"/>
      <c r="C12" s="365"/>
      <c r="D12" s="366"/>
      <c r="E12" s="367"/>
      <c r="F12" s="367"/>
      <c r="G12" s="368"/>
      <c r="H12" s="368"/>
      <c r="I12" s="369"/>
      <c r="J12" s="368"/>
      <c r="K12" s="369"/>
      <c r="L12" s="368"/>
      <c r="M12" s="370"/>
      <c r="N12" s="368"/>
      <c r="O12" s="371"/>
      <c r="P12" s="372"/>
      <c r="Q12" s="373"/>
      <c r="R12" s="374"/>
      <c r="S12" s="374"/>
      <c r="T12" s="374"/>
      <c r="U12" s="375"/>
      <c r="V12" s="375"/>
      <c r="W12" s="375"/>
      <c r="X12" s="375"/>
      <c r="Y12" s="376"/>
      <c r="Z12" s="377"/>
      <c r="AA12" s="378"/>
      <c r="AB12" s="377"/>
      <c r="AC12" s="379"/>
      <c r="AD12" s="380"/>
      <c r="AE12" s="381"/>
      <c r="AF12" s="382"/>
      <c r="AG12" s="368"/>
      <c r="AH12" s="637"/>
      <c r="AI12" s="646"/>
      <c r="AJ12" s="383"/>
      <c r="AK12" s="627"/>
      <c r="AL12" s="368"/>
      <c r="AM12" s="656"/>
      <c r="AN12" s="332"/>
      <c r="AO12" s="859" t="s">
        <v>431</v>
      </c>
      <c r="AP12" s="333" t="s">
        <v>432</v>
      </c>
      <c r="AQ12" s="333"/>
      <c r="AR12" s="333" t="s">
        <v>443</v>
      </c>
      <c r="AS12" s="346"/>
      <c r="AT12" s="336"/>
      <c r="AU12" s="337"/>
      <c r="AV12" s="337"/>
      <c r="AW12" s="337"/>
      <c r="AX12" s="335"/>
    </row>
    <row r="13" spans="1:50" x14ac:dyDescent="0.2">
      <c r="A13" s="296"/>
      <c r="B13" s="339">
        <f t="shared" ca="1" si="13"/>
        <v>0</v>
      </c>
      <c r="C13" s="249">
        <f t="shared" ca="1" si="14"/>
        <v>0</v>
      </c>
      <c r="D13" s="246">
        <f ca="1">IF(AND(OR($Z13="",INGVAN="",$Z13&lt;=INGVAN),OR($Z13="",INGTOT="",$Z13&lt;=INGTOT),OR($AA13="",INGVAN="",$AA13&gt;=INGVAN),OR($AA13="",INGTOT="",$AA13&gt;=INGTOT)),1,0)</f>
        <v>1</v>
      </c>
      <c r="E13" s="247">
        <f t="shared" ca="1" si="15"/>
        <v>0</v>
      </c>
      <c r="F13" s="247">
        <f t="shared" ca="1" si="16"/>
        <v>1</v>
      </c>
      <c r="G13" s="147">
        <f ca="1">IF(AND(SI&lt;&gt;17,OR(ParBAL1="4.4",ParBAL2="4.4")),1,0)</f>
        <v>0</v>
      </c>
      <c r="H13" s="147"/>
      <c r="I13" s="148"/>
      <c r="J13" s="147"/>
      <c r="K13" s="148"/>
      <c r="L13" s="147">
        <f ca="1">IF(OR(TBRAND1=3,AND(G13=1,N13=0)),1,0)</f>
        <v>0</v>
      </c>
      <c r="M13" s="248">
        <f t="shared" ref="M13" ca="1" si="23">IF(AND(ParBAL1&lt;&gt;"",ParBAL1=P13),1,0)</f>
        <v>0</v>
      </c>
      <c r="N13" s="147">
        <f ca="1">IF(TBRAND2=3,1,0)</f>
        <v>0</v>
      </c>
      <c r="O13" s="249">
        <f t="shared" ref="O13" ca="1" si="24">IF(AND(ParBAL2&lt;&gt;"",ParBAL2=P13),1,0)</f>
        <v>0</v>
      </c>
      <c r="P13" s="291" t="s">
        <v>39</v>
      </c>
      <c r="Q13" s="160" t="s">
        <v>267</v>
      </c>
      <c r="R13" s="149"/>
      <c r="S13" s="149"/>
      <c r="T13" s="149"/>
      <c r="U13" s="150"/>
      <c r="V13" s="150"/>
      <c r="W13" s="150"/>
      <c r="X13" s="150"/>
      <c r="Y13" s="151"/>
      <c r="Z13" s="143"/>
      <c r="AA13" s="144">
        <f>IWTBAL-1</f>
        <v>45291</v>
      </c>
      <c r="AB13" s="143"/>
      <c r="AC13" s="145">
        <v>45241</v>
      </c>
      <c r="AD13" s="146"/>
      <c r="AE13" s="276" t="s">
        <v>124</v>
      </c>
      <c r="AF13" s="152" t="s">
        <v>434</v>
      </c>
      <c r="AG13" s="147"/>
      <c r="AH13" s="636"/>
      <c r="AI13" s="645"/>
      <c r="AJ13" s="269"/>
      <c r="AK13" s="626"/>
      <c r="AL13" s="147"/>
      <c r="AM13" s="655"/>
      <c r="AN13" s="324"/>
      <c r="AO13" s="349" t="str">
        <f t="shared" si="22"/>
        <v xml:space="preserve">Op grond van artikel 4.81 1e lid geldt een halfjaarlijkse periodieke meetverplichting. Op basis van het atikel 4.81 2e of 5e lid kan een afwijkende meetfrequentie van toepassing zijn. </v>
      </c>
      <c r="AP13" s="325" t="str">
        <f t="shared" si="19"/>
        <v>Een periodieke meting bestaat uit één deelmeting van ten minste 30 minuten en ten hoogste acht uur. De metingen worden uitgevoerd door een geaccrediteerd laboratorium volgens NEN-EN 14385 (art. 4.78 en 4.84).</v>
      </c>
      <c r="AQ13" s="325"/>
      <c r="AR13" s="325" t="str">
        <f t="shared" si="19"/>
        <v>De installatie voldoet aan de gestelde emissie-eis als gevalideerde meetresultaten lager dan de emissie-eis zijn (art. 4.90). Een gevalideerde waarde is de waarde nadat de aangetoonde meetonzekerheid in mindering is gebracht.</v>
      </c>
      <c r="AS13" s="325"/>
      <c r="AT13" s="155"/>
      <c r="AU13" s="157"/>
      <c r="AV13" s="157"/>
      <c r="AW13" s="157"/>
      <c r="AX13" s="151"/>
    </row>
    <row r="14" spans="1:50" x14ac:dyDescent="0.2">
      <c r="A14" s="584"/>
      <c r="B14" s="585"/>
      <c r="C14" s="586"/>
      <c r="D14" s="587"/>
      <c r="E14" s="588"/>
      <c r="F14" s="588"/>
      <c r="G14" s="589"/>
      <c r="H14" s="589"/>
      <c r="I14" s="590"/>
      <c r="J14" s="589"/>
      <c r="K14" s="590"/>
      <c r="L14" s="589"/>
      <c r="M14" s="591"/>
      <c r="N14" s="589"/>
      <c r="O14" s="592"/>
      <c r="P14" s="593"/>
      <c r="Q14" s="594"/>
      <c r="R14" s="595"/>
      <c r="S14" s="595"/>
      <c r="T14" s="595"/>
      <c r="U14" s="596"/>
      <c r="V14" s="596"/>
      <c r="W14" s="596"/>
      <c r="X14" s="596"/>
      <c r="Y14" s="597"/>
      <c r="Z14" s="598"/>
      <c r="AA14" s="599"/>
      <c r="AB14" s="598"/>
      <c r="AC14" s="600"/>
      <c r="AD14" s="601"/>
      <c r="AE14" s="602"/>
      <c r="AF14" s="603"/>
      <c r="AG14" s="589"/>
      <c r="AH14" s="638"/>
      <c r="AI14" s="647"/>
      <c r="AJ14" s="604"/>
      <c r="AK14" s="628"/>
      <c r="AL14" s="589"/>
      <c r="AM14" s="657"/>
      <c r="AN14" s="605"/>
      <c r="AO14" s="858"/>
      <c r="AP14" s="606"/>
      <c r="AQ14" s="606"/>
      <c r="AR14" s="606"/>
      <c r="AS14" s="595"/>
      <c r="AT14" s="606"/>
      <c r="AU14" s="607"/>
      <c r="AV14" s="607"/>
      <c r="AW14" s="607"/>
      <c r="AX14" s="597"/>
    </row>
    <row r="15" spans="1:50" x14ac:dyDescent="0.2">
      <c r="A15" s="393" t="s">
        <v>294</v>
      </c>
      <c r="B15" s="394"/>
      <c r="C15" s="395"/>
      <c r="D15" s="396"/>
      <c r="E15" s="397"/>
      <c r="F15" s="397"/>
      <c r="G15" s="398"/>
      <c r="H15" s="398"/>
      <c r="I15" s="399"/>
      <c r="J15" s="398"/>
      <c r="K15" s="399"/>
      <c r="L15" s="398"/>
      <c r="M15" s="400"/>
      <c r="N15" s="398"/>
      <c r="O15" s="401"/>
      <c r="P15" s="402"/>
      <c r="Q15" s="403"/>
      <c r="R15" s="404"/>
      <c r="S15" s="404"/>
      <c r="T15" s="404"/>
      <c r="U15" s="405"/>
      <c r="V15" s="405"/>
      <c r="W15" s="405"/>
      <c r="X15" s="405"/>
      <c r="Y15" s="406"/>
      <c r="Z15" s="407"/>
      <c r="AA15" s="408"/>
      <c r="AB15" s="407"/>
      <c r="AC15" s="409"/>
      <c r="AD15" s="410"/>
      <c r="AE15" s="411"/>
      <c r="AF15" s="412"/>
      <c r="AG15" s="398"/>
      <c r="AH15" s="639"/>
      <c r="AI15" s="648"/>
      <c r="AJ15" s="413"/>
      <c r="AK15" s="629"/>
      <c r="AL15" s="398"/>
      <c r="AM15" s="658"/>
      <c r="AN15" s="332"/>
      <c r="AO15" s="859"/>
      <c r="AP15" s="333"/>
      <c r="AQ15" s="333"/>
      <c r="AR15" s="333"/>
      <c r="AS15" s="333"/>
      <c r="AT15" s="330"/>
      <c r="AU15" s="331"/>
      <c r="AV15" s="331"/>
      <c r="AW15" s="331"/>
      <c r="AX15" s="328"/>
    </row>
    <row r="16" spans="1:50" x14ac:dyDescent="0.2">
      <c r="A16" s="295"/>
      <c r="B16" s="340"/>
      <c r="C16" s="341"/>
      <c r="D16" s="326"/>
      <c r="E16" s="46"/>
      <c r="F16" s="46"/>
      <c r="G16" s="147"/>
      <c r="H16" s="147"/>
      <c r="I16" s="148"/>
      <c r="J16" s="147"/>
      <c r="K16" s="148"/>
      <c r="L16" s="147"/>
      <c r="M16" s="56"/>
      <c r="N16" s="147"/>
      <c r="O16" s="59"/>
      <c r="P16" s="279"/>
      <c r="Q16" s="160"/>
      <c r="R16" s="149"/>
      <c r="S16" s="149"/>
      <c r="T16" s="149"/>
      <c r="U16" s="150"/>
      <c r="V16" s="150"/>
      <c r="W16" s="150"/>
      <c r="X16" s="150"/>
      <c r="Y16" s="151"/>
      <c r="Z16" s="143"/>
      <c r="AA16" s="144"/>
      <c r="AB16" s="143"/>
      <c r="AC16" s="145"/>
      <c r="AD16" s="146"/>
      <c r="AE16" s="276"/>
      <c r="AF16" s="152"/>
      <c r="AG16" s="147"/>
      <c r="AH16" s="636"/>
      <c r="AI16" s="645"/>
      <c r="AJ16" s="269"/>
      <c r="AK16" s="626"/>
      <c r="AL16" s="147"/>
      <c r="AM16" s="655"/>
      <c r="AN16" s="154"/>
      <c r="AO16" s="156"/>
      <c r="AP16" s="155"/>
      <c r="AQ16" s="155"/>
      <c r="AR16" s="155"/>
      <c r="AS16" s="149"/>
      <c r="AT16" s="155"/>
      <c r="AU16" s="157"/>
      <c r="AV16" s="157"/>
      <c r="AW16" s="157"/>
      <c r="AX16" s="151"/>
    </row>
    <row r="17" spans="1:50" x14ac:dyDescent="0.2">
      <c r="A17" s="363" t="s">
        <v>338</v>
      </c>
      <c r="B17" s="364"/>
      <c r="C17" s="365"/>
      <c r="D17" s="366"/>
      <c r="E17" s="367"/>
      <c r="F17" s="367"/>
      <c r="G17" s="368"/>
      <c r="H17" s="368"/>
      <c r="I17" s="369"/>
      <c r="J17" s="368"/>
      <c r="K17" s="369"/>
      <c r="L17" s="368"/>
      <c r="M17" s="370"/>
      <c r="N17" s="368"/>
      <c r="O17" s="371"/>
      <c r="P17" s="372"/>
      <c r="Q17" s="373"/>
      <c r="R17" s="374"/>
      <c r="S17" s="374"/>
      <c r="T17" s="374"/>
      <c r="U17" s="375"/>
      <c r="V17" s="375"/>
      <c r="W17" s="375"/>
      <c r="X17" s="375"/>
      <c r="Y17" s="376"/>
      <c r="Z17" s="377"/>
      <c r="AA17" s="378"/>
      <c r="AB17" s="377"/>
      <c r="AC17" s="379"/>
      <c r="AD17" s="380"/>
      <c r="AE17" s="381"/>
      <c r="AF17" s="382"/>
      <c r="AG17" s="368"/>
      <c r="AH17" s="637"/>
      <c r="AI17" s="646"/>
      <c r="AJ17" s="383"/>
      <c r="AK17" s="627"/>
      <c r="AL17" s="368"/>
      <c r="AM17" s="656"/>
      <c r="AN17" s="345"/>
      <c r="AO17" s="686"/>
      <c r="AP17" s="346"/>
      <c r="AQ17" s="346"/>
      <c r="AR17" s="346"/>
      <c r="AS17" s="346"/>
      <c r="AT17" s="336"/>
      <c r="AU17" s="337"/>
      <c r="AV17" s="337"/>
      <c r="AW17" s="337"/>
      <c r="AX17" s="335"/>
    </row>
    <row r="18" spans="1:50" x14ac:dyDescent="0.2">
      <c r="A18" s="584"/>
      <c r="B18" s="585"/>
      <c r="C18" s="586"/>
      <c r="D18" s="587"/>
      <c r="E18" s="588"/>
      <c r="F18" s="588"/>
      <c r="G18" s="589"/>
      <c r="H18" s="589"/>
      <c r="I18" s="590"/>
      <c r="J18" s="589"/>
      <c r="K18" s="590"/>
      <c r="L18" s="589"/>
      <c r="M18" s="591"/>
      <c r="N18" s="589"/>
      <c r="O18" s="592"/>
      <c r="P18" s="593"/>
      <c r="Q18" s="594"/>
      <c r="R18" s="595"/>
      <c r="S18" s="595"/>
      <c r="T18" s="595"/>
      <c r="U18" s="596"/>
      <c r="V18" s="596"/>
      <c r="W18" s="596"/>
      <c r="X18" s="596"/>
      <c r="Y18" s="597"/>
      <c r="Z18" s="598"/>
      <c r="AA18" s="599"/>
      <c r="AB18" s="598"/>
      <c r="AC18" s="600"/>
      <c r="AD18" s="601"/>
      <c r="AE18" s="602"/>
      <c r="AF18" s="603"/>
      <c r="AG18" s="589"/>
      <c r="AH18" s="638"/>
      <c r="AI18" s="647"/>
      <c r="AJ18" s="604"/>
      <c r="AK18" s="628"/>
      <c r="AL18" s="589"/>
      <c r="AM18" s="657"/>
      <c r="AN18" s="605"/>
      <c r="AO18" s="858"/>
      <c r="AP18" s="606"/>
      <c r="AQ18" s="606"/>
      <c r="AR18" s="606"/>
      <c r="AS18" s="595"/>
      <c r="AT18" s="606"/>
      <c r="AU18" s="607"/>
      <c r="AV18" s="607"/>
      <c r="AW18" s="607"/>
      <c r="AX18" s="597"/>
    </row>
    <row r="19" spans="1:50" x14ac:dyDescent="0.2">
      <c r="A19" s="393" t="s">
        <v>293</v>
      </c>
      <c r="B19" s="394"/>
      <c r="C19" s="395"/>
      <c r="D19" s="396"/>
      <c r="E19" s="397"/>
      <c r="F19" s="397"/>
      <c r="G19" s="398"/>
      <c r="H19" s="398"/>
      <c r="I19" s="399"/>
      <c r="J19" s="398"/>
      <c r="K19" s="399"/>
      <c r="L19" s="398"/>
      <c r="M19" s="400"/>
      <c r="N19" s="398"/>
      <c r="O19" s="401"/>
      <c r="P19" s="402"/>
      <c r="Q19" s="403"/>
      <c r="R19" s="404"/>
      <c r="S19" s="404"/>
      <c r="T19" s="404"/>
      <c r="U19" s="405"/>
      <c r="V19" s="405"/>
      <c r="W19" s="405"/>
      <c r="X19" s="405"/>
      <c r="Y19" s="406"/>
      <c r="Z19" s="407"/>
      <c r="AA19" s="408"/>
      <c r="AB19" s="407"/>
      <c r="AC19" s="409"/>
      <c r="AD19" s="410"/>
      <c r="AE19" s="411"/>
      <c r="AF19" s="412"/>
      <c r="AG19" s="398"/>
      <c r="AH19" s="639"/>
      <c r="AI19" s="648"/>
      <c r="AJ19" s="413"/>
      <c r="AK19" s="629"/>
      <c r="AL19" s="398"/>
      <c r="AM19" s="658"/>
      <c r="AN19" s="332"/>
      <c r="AO19" s="859"/>
      <c r="AP19" s="333"/>
      <c r="AQ19" s="333"/>
      <c r="AR19" s="333"/>
      <c r="AS19" s="327"/>
      <c r="AT19" s="330"/>
      <c r="AU19" s="331"/>
      <c r="AV19" s="331"/>
      <c r="AW19" s="331"/>
      <c r="AX19" s="328"/>
    </row>
    <row r="20" spans="1:50" x14ac:dyDescent="0.2">
      <c r="A20" s="295"/>
      <c r="B20" s="340"/>
      <c r="C20" s="341"/>
      <c r="D20" s="326"/>
      <c r="E20" s="46"/>
      <c r="F20" s="46"/>
      <c r="G20" s="147"/>
      <c r="H20" s="147"/>
      <c r="I20" s="148"/>
      <c r="J20" s="147"/>
      <c r="K20" s="148"/>
      <c r="L20" s="147"/>
      <c r="M20" s="56"/>
      <c r="N20" s="147"/>
      <c r="O20" s="59"/>
      <c r="P20" s="279"/>
      <c r="Q20" s="160"/>
      <c r="R20" s="149"/>
      <c r="S20" s="149"/>
      <c r="T20" s="149"/>
      <c r="U20" s="150"/>
      <c r="V20" s="150"/>
      <c r="W20" s="150"/>
      <c r="X20" s="150"/>
      <c r="Y20" s="151"/>
      <c r="Z20" s="143"/>
      <c r="AA20" s="144"/>
      <c r="AB20" s="143"/>
      <c r="AC20" s="145"/>
      <c r="AD20" s="146"/>
      <c r="AE20" s="276"/>
      <c r="AF20" s="152"/>
      <c r="AG20" s="147"/>
      <c r="AH20" s="636"/>
      <c r="AI20" s="645"/>
      <c r="AJ20" s="269"/>
      <c r="AK20" s="626"/>
      <c r="AL20" s="147"/>
      <c r="AM20" s="636"/>
      <c r="AN20" s="683"/>
      <c r="AO20" s="685"/>
      <c r="AP20" s="684"/>
      <c r="AQ20" s="684"/>
      <c r="AR20" s="684"/>
      <c r="AS20" s="149"/>
      <c r="AT20" s="155"/>
      <c r="AU20" s="157"/>
      <c r="AV20" s="157"/>
      <c r="AW20" s="157"/>
      <c r="AX20" s="151"/>
    </row>
    <row r="21" spans="1:50" x14ac:dyDescent="0.2">
      <c r="A21" s="363" t="s">
        <v>339</v>
      </c>
      <c r="B21" s="364"/>
      <c r="C21" s="365"/>
      <c r="D21" s="366"/>
      <c r="E21" s="367"/>
      <c r="F21" s="367"/>
      <c r="G21" s="368"/>
      <c r="H21" s="368"/>
      <c r="I21" s="369"/>
      <c r="J21" s="368"/>
      <c r="K21" s="369"/>
      <c r="L21" s="368"/>
      <c r="M21" s="370"/>
      <c r="N21" s="368"/>
      <c r="O21" s="371"/>
      <c r="P21" s="372"/>
      <c r="Q21" s="373"/>
      <c r="R21" s="374"/>
      <c r="S21" s="374"/>
      <c r="T21" s="374"/>
      <c r="U21" s="375"/>
      <c r="V21" s="375"/>
      <c r="W21" s="375"/>
      <c r="X21" s="375"/>
      <c r="Y21" s="376"/>
      <c r="Z21" s="377"/>
      <c r="AA21" s="378"/>
      <c r="AB21" s="377"/>
      <c r="AC21" s="379"/>
      <c r="AD21" s="380"/>
      <c r="AE21" s="381"/>
      <c r="AF21" s="382"/>
      <c r="AG21" s="368"/>
      <c r="AH21" s="637"/>
      <c r="AI21" s="646"/>
      <c r="AJ21" s="383"/>
      <c r="AK21" s="627"/>
      <c r="AL21" s="368"/>
      <c r="AM21" s="637"/>
      <c r="AN21" s="345"/>
      <c r="AO21" s="686"/>
      <c r="AP21" s="346"/>
      <c r="AQ21" s="346"/>
      <c r="AR21" s="346"/>
      <c r="AS21" s="346"/>
      <c r="AT21" s="336"/>
      <c r="AU21" s="337"/>
      <c r="AV21" s="337"/>
      <c r="AW21" s="337"/>
      <c r="AX21" s="335"/>
    </row>
    <row r="22" spans="1:50" x14ac:dyDescent="0.2">
      <c r="A22" s="584"/>
      <c r="B22" s="585"/>
      <c r="C22" s="586"/>
      <c r="D22" s="587"/>
      <c r="E22" s="588"/>
      <c r="F22" s="588"/>
      <c r="G22" s="589"/>
      <c r="H22" s="589"/>
      <c r="I22" s="590"/>
      <c r="J22" s="589"/>
      <c r="K22" s="590"/>
      <c r="L22" s="589"/>
      <c r="M22" s="591"/>
      <c r="N22" s="589"/>
      <c r="O22" s="592"/>
      <c r="P22" s="593"/>
      <c r="Q22" s="594"/>
      <c r="R22" s="595"/>
      <c r="S22" s="595"/>
      <c r="T22" s="595"/>
      <c r="U22" s="596"/>
      <c r="V22" s="596"/>
      <c r="W22" s="596"/>
      <c r="X22" s="596"/>
      <c r="Y22" s="597"/>
      <c r="Z22" s="598"/>
      <c r="AA22" s="599"/>
      <c r="AB22" s="598"/>
      <c r="AC22" s="600"/>
      <c r="AD22" s="601"/>
      <c r="AE22" s="602"/>
      <c r="AF22" s="603"/>
      <c r="AG22" s="589"/>
      <c r="AH22" s="638"/>
      <c r="AI22" s="647"/>
      <c r="AJ22" s="604"/>
      <c r="AK22" s="628"/>
      <c r="AL22" s="589"/>
      <c r="AM22" s="657"/>
      <c r="AN22" s="605"/>
      <c r="AO22" s="858"/>
      <c r="AP22" s="606"/>
      <c r="AQ22" s="606"/>
      <c r="AR22" s="606"/>
      <c r="AS22" s="595"/>
      <c r="AT22" s="606"/>
      <c r="AU22" s="607"/>
      <c r="AV22" s="607"/>
      <c r="AW22" s="607"/>
      <c r="AX22" s="597"/>
    </row>
    <row r="23" spans="1:50" x14ac:dyDescent="0.2">
      <c r="A23" s="393" t="s">
        <v>292</v>
      </c>
      <c r="B23" s="394"/>
      <c r="C23" s="395"/>
      <c r="D23" s="396"/>
      <c r="E23" s="397"/>
      <c r="F23" s="397"/>
      <c r="G23" s="398"/>
      <c r="H23" s="398"/>
      <c r="I23" s="399"/>
      <c r="J23" s="398"/>
      <c r="K23" s="399"/>
      <c r="L23" s="398"/>
      <c r="M23" s="400"/>
      <c r="N23" s="398"/>
      <c r="O23" s="401"/>
      <c r="P23" s="402"/>
      <c r="Q23" s="403"/>
      <c r="R23" s="404"/>
      <c r="S23" s="404"/>
      <c r="T23" s="404"/>
      <c r="U23" s="405"/>
      <c r="V23" s="405"/>
      <c r="W23" s="405"/>
      <c r="X23" s="405"/>
      <c r="Y23" s="406"/>
      <c r="Z23" s="407"/>
      <c r="AA23" s="408"/>
      <c r="AB23" s="407"/>
      <c r="AC23" s="409"/>
      <c r="AD23" s="410"/>
      <c r="AE23" s="411"/>
      <c r="AF23" s="412"/>
      <c r="AG23" s="398"/>
      <c r="AH23" s="639"/>
      <c r="AI23" s="648"/>
      <c r="AJ23" s="413"/>
      <c r="AK23" s="629"/>
      <c r="AL23" s="398"/>
      <c r="AM23" s="658"/>
      <c r="AN23" s="332"/>
      <c r="AO23" s="859"/>
      <c r="AP23" s="333"/>
      <c r="AQ23" s="333"/>
      <c r="AR23" s="333"/>
      <c r="AS23" s="327"/>
      <c r="AT23" s="330"/>
      <c r="AU23" s="331"/>
      <c r="AV23" s="331"/>
      <c r="AW23" s="331"/>
      <c r="AX23" s="328"/>
    </row>
    <row r="24" spans="1:50" x14ac:dyDescent="0.2">
      <c r="A24" s="295"/>
      <c r="B24" s="340"/>
      <c r="C24" s="341"/>
      <c r="D24" s="326"/>
      <c r="E24" s="46"/>
      <c r="F24" s="46"/>
      <c r="G24" s="147"/>
      <c r="H24" s="147"/>
      <c r="I24" s="148"/>
      <c r="J24" s="147"/>
      <c r="K24" s="148"/>
      <c r="L24" s="147"/>
      <c r="M24" s="56"/>
      <c r="N24" s="147"/>
      <c r="O24" s="59"/>
      <c r="P24" s="279"/>
      <c r="Q24" s="160"/>
      <c r="R24" s="149"/>
      <c r="S24" s="149"/>
      <c r="T24" s="149"/>
      <c r="U24" s="150"/>
      <c r="V24" s="150"/>
      <c r="W24" s="150"/>
      <c r="X24" s="150"/>
      <c r="Y24" s="151"/>
      <c r="Z24" s="143"/>
      <c r="AA24" s="144"/>
      <c r="AB24" s="143"/>
      <c r="AC24" s="145"/>
      <c r="AD24" s="146"/>
      <c r="AE24" s="276"/>
      <c r="AF24" s="152"/>
      <c r="AG24" s="147"/>
      <c r="AH24" s="636"/>
      <c r="AI24" s="645"/>
      <c r="AJ24" s="269"/>
      <c r="AK24" s="626"/>
      <c r="AL24" s="147"/>
      <c r="AM24" s="655"/>
      <c r="AN24" s="154"/>
      <c r="AO24" s="156"/>
      <c r="AP24" s="155"/>
      <c r="AQ24" s="155"/>
      <c r="AR24" s="155"/>
      <c r="AS24" s="149"/>
      <c r="AT24" s="155"/>
      <c r="AU24" s="157"/>
      <c r="AV24" s="157"/>
      <c r="AW24" s="157"/>
      <c r="AX24" s="151"/>
    </row>
    <row r="25" spans="1:50" x14ac:dyDescent="0.2">
      <c r="A25" s="363" t="s">
        <v>340</v>
      </c>
      <c r="B25" s="364"/>
      <c r="C25" s="365"/>
      <c r="D25" s="366"/>
      <c r="E25" s="367"/>
      <c r="F25" s="367"/>
      <c r="G25" s="368"/>
      <c r="H25" s="368"/>
      <c r="I25" s="369"/>
      <c r="J25" s="368"/>
      <c r="K25" s="369"/>
      <c r="L25" s="368"/>
      <c r="M25" s="370"/>
      <c r="N25" s="368"/>
      <c r="O25" s="371"/>
      <c r="P25" s="372"/>
      <c r="Q25" s="373"/>
      <c r="R25" s="374"/>
      <c r="S25" s="374"/>
      <c r="T25" s="374"/>
      <c r="U25" s="375"/>
      <c r="V25" s="375"/>
      <c r="W25" s="375"/>
      <c r="X25" s="375"/>
      <c r="Y25" s="376"/>
      <c r="Z25" s="377"/>
      <c r="AA25" s="378"/>
      <c r="AB25" s="377"/>
      <c r="AC25" s="379"/>
      <c r="AD25" s="380"/>
      <c r="AE25" s="381"/>
      <c r="AF25" s="382"/>
      <c r="AG25" s="368"/>
      <c r="AH25" s="637"/>
      <c r="AI25" s="646"/>
      <c r="AJ25" s="383"/>
      <c r="AK25" s="627"/>
      <c r="AL25" s="368"/>
      <c r="AM25" s="656"/>
      <c r="AN25" s="345"/>
      <c r="AO25" s="686"/>
      <c r="AP25" s="346"/>
      <c r="AQ25" s="346"/>
      <c r="AR25" s="346"/>
      <c r="AS25" s="346"/>
      <c r="AT25" s="336"/>
      <c r="AU25" s="337"/>
      <c r="AV25" s="337"/>
      <c r="AW25" s="337"/>
      <c r="AX25" s="335"/>
    </row>
    <row r="26" spans="1:50" x14ac:dyDescent="0.2">
      <c r="A26" s="584"/>
      <c r="B26" s="585"/>
      <c r="C26" s="586"/>
      <c r="D26" s="587"/>
      <c r="E26" s="588"/>
      <c r="F26" s="588"/>
      <c r="G26" s="589"/>
      <c r="H26" s="589"/>
      <c r="I26" s="590"/>
      <c r="J26" s="589"/>
      <c r="K26" s="590"/>
      <c r="L26" s="589"/>
      <c r="M26" s="591"/>
      <c r="N26" s="589"/>
      <c r="O26" s="592"/>
      <c r="P26" s="593"/>
      <c r="Q26" s="594"/>
      <c r="R26" s="595"/>
      <c r="S26" s="595"/>
      <c r="T26" s="595"/>
      <c r="U26" s="596"/>
      <c r="V26" s="596"/>
      <c r="W26" s="596"/>
      <c r="X26" s="596"/>
      <c r="Y26" s="597"/>
      <c r="Z26" s="598"/>
      <c r="AA26" s="599"/>
      <c r="AB26" s="598"/>
      <c r="AC26" s="600"/>
      <c r="AD26" s="601"/>
      <c r="AE26" s="602"/>
      <c r="AF26" s="603"/>
      <c r="AG26" s="589"/>
      <c r="AH26" s="638"/>
      <c r="AI26" s="647"/>
      <c r="AJ26" s="604"/>
      <c r="AK26" s="628"/>
      <c r="AL26" s="589"/>
      <c r="AM26" s="657"/>
      <c r="AN26" s="605"/>
      <c r="AO26" s="858"/>
      <c r="AP26" s="606"/>
      <c r="AQ26" s="606"/>
      <c r="AR26" s="606"/>
      <c r="AS26" s="595"/>
      <c r="AT26" s="606"/>
      <c r="AU26" s="607"/>
      <c r="AV26" s="607"/>
      <c r="AW26" s="607"/>
      <c r="AX26" s="597"/>
    </row>
    <row r="27" spans="1:50" x14ac:dyDescent="0.2">
      <c r="A27" s="393" t="s">
        <v>291</v>
      </c>
      <c r="B27" s="394"/>
      <c r="C27" s="395"/>
      <c r="D27" s="396"/>
      <c r="E27" s="397"/>
      <c r="F27" s="397"/>
      <c r="G27" s="398"/>
      <c r="H27" s="398"/>
      <c r="I27" s="399"/>
      <c r="J27" s="398"/>
      <c r="K27" s="399"/>
      <c r="L27" s="398"/>
      <c r="M27" s="400"/>
      <c r="N27" s="398"/>
      <c r="O27" s="401"/>
      <c r="P27" s="402"/>
      <c r="Q27" s="403"/>
      <c r="R27" s="404"/>
      <c r="S27" s="404"/>
      <c r="T27" s="404"/>
      <c r="U27" s="405"/>
      <c r="V27" s="405"/>
      <c r="W27" s="405"/>
      <c r="X27" s="405"/>
      <c r="Y27" s="406"/>
      <c r="Z27" s="407"/>
      <c r="AA27" s="408"/>
      <c r="AB27" s="407"/>
      <c r="AC27" s="409"/>
      <c r="AD27" s="410"/>
      <c r="AE27" s="411"/>
      <c r="AF27" s="412"/>
      <c r="AG27" s="398"/>
      <c r="AH27" s="639"/>
      <c r="AI27" s="648"/>
      <c r="AJ27" s="413"/>
      <c r="AK27" s="629"/>
      <c r="AL27" s="398"/>
      <c r="AM27" s="658"/>
      <c r="AN27" s="332"/>
      <c r="AO27" s="859"/>
      <c r="AP27" s="333"/>
      <c r="AQ27" s="333"/>
      <c r="AR27" s="333"/>
      <c r="AS27" s="327"/>
      <c r="AT27" s="330"/>
      <c r="AU27" s="331"/>
      <c r="AV27" s="331"/>
      <c r="AW27" s="331"/>
      <c r="AX27" s="328"/>
    </row>
    <row r="28" spans="1:50" x14ac:dyDescent="0.2">
      <c r="A28" s="295"/>
      <c r="B28" s="340"/>
      <c r="C28" s="341"/>
      <c r="D28" s="326"/>
      <c r="E28" s="46"/>
      <c r="F28" s="46"/>
      <c r="G28" s="147"/>
      <c r="H28" s="147"/>
      <c r="I28" s="148"/>
      <c r="J28" s="147"/>
      <c r="K28" s="148"/>
      <c r="L28" s="147"/>
      <c r="M28" s="56"/>
      <c r="N28" s="147"/>
      <c r="O28" s="59"/>
      <c r="P28" s="279"/>
      <c r="Q28" s="160"/>
      <c r="R28" s="149"/>
      <c r="S28" s="149"/>
      <c r="T28" s="149"/>
      <c r="U28" s="150"/>
      <c r="V28" s="150"/>
      <c r="W28" s="150"/>
      <c r="X28" s="150"/>
      <c r="Y28" s="151"/>
      <c r="Z28" s="143"/>
      <c r="AA28" s="144"/>
      <c r="AB28" s="143"/>
      <c r="AC28" s="145"/>
      <c r="AD28" s="146"/>
      <c r="AE28" s="276"/>
      <c r="AF28" s="152"/>
      <c r="AG28" s="147"/>
      <c r="AH28" s="636"/>
      <c r="AI28" s="645"/>
      <c r="AJ28" s="269"/>
      <c r="AK28" s="626"/>
      <c r="AL28" s="147"/>
      <c r="AM28" s="655"/>
      <c r="AN28" s="154"/>
      <c r="AO28" s="156"/>
      <c r="AP28" s="155"/>
      <c r="AQ28" s="155"/>
      <c r="AR28" s="155"/>
      <c r="AS28" s="149"/>
      <c r="AT28" s="155"/>
      <c r="AU28" s="157"/>
      <c r="AV28" s="157"/>
      <c r="AW28" s="157"/>
      <c r="AX28" s="151"/>
    </row>
    <row r="29" spans="1:50" x14ac:dyDescent="0.2">
      <c r="A29" s="363" t="s">
        <v>341</v>
      </c>
      <c r="B29" s="364"/>
      <c r="C29" s="365"/>
      <c r="D29" s="366"/>
      <c r="E29" s="367"/>
      <c r="F29" s="367"/>
      <c r="G29" s="368"/>
      <c r="H29" s="368"/>
      <c r="I29" s="369"/>
      <c r="J29" s="368"/>
      <c r="K29" s="369"/>
      <c r="L29" s="368"/>
      <c r="M29" s="370"/>
      <c r="N29" s="368"/>
      <c r="O29" s="371"/>
      <c r="P29" s="372"/>
      <c r="Q29" s="373"/>
      <c r="R29" s="374"/>
      <c r="S29" s="374"/>
      <c r="T29" s="374"/>
      <c r="U29" s="375"/>
      <c r="V29" s="375"/>
      <c r="W29" s="375"/>
      <c r="X29" s="375"/>
      <c r="Y29" s="376"/>
      <c r="Z29" s="377"/>
      <c r="AA29" s="378"/>
      <c r="AB29" s="377"/>
      <c r="AC29" s="379"/>
      <c r="AD29" s="380"/>
      <c r="AE29" s="381"/>
      <c r="AF29" s="382"/>
      <c r="AG29" s="368"/>
      <c r="AH29" s="637"/>
      <c r="AI29" s="646"/>
      <c r="AJ29" s="383"/>
      <c r="AK29" s="627"/>
      <c r="AL29" s="368"/>
      <c r="AM29" s="656"/>
      <c r="AN29" s="345"/>
      <c r="AO29" s="686"/>
      <c r="AP29" s="346"/>
      <c r="AQ29" s="346"/>
      <c r="AR29" s="346"/>
      <c r="AS29" s="346"/>
      <c r="AT29" s="336"/>
      <c r="AU29" s="337"/>
      <c r="AV29" s="337"/>
      <c r="AW29" s="337"/>
      <c r="AX29" s="335"/>
    </row>
    <row r="30" spans="1:50" x14ac:dyDescent="0.2">
      <c r="A30" s="584"/>
      <c r="B30" s="585"/>
      <c r="C30" s="586"/>
      <c r="D30" s="608"/>
      <c r="E30" s="589"/>
      <c r="F30" s="589"/>
      <c r="G30" s="589"/>
      <c r="H30" s="589"/>
      <c r="I30" s="590"/>
      <c r="J30" s="589"/>
      <c r="K30" s="590"/>
      <c r="L30" s="589"/>
      <c r="M30" s="590"/>
      <c r="N30" s="590"/>
      <c r="O30" s="590"/>
      <c r="P30" s="593"/>
      <c r="Q30" s="595"/>
      <c r="R30" s="595"/>
      <c r="S30" s="595"/>
      <c r="T30" s="595"/>
      <c r="U30" s="596"/>
      <c r="V30" s="596"/>
      <c r="W30" s="596"/>
      <c r="X30" s="596"/>
      <c r="Y30" s="597"/>
      <c r="Z30" s="598"/>
      <c r="AA30" s="599"/>
      <c r="AB30" s="598"/>
      <c r="AC30" s="600"/>
      <c r="AD30" s="601"/>
      <c r="AE30" s="602"/>
      <c r="AF30" s="603"/>
      <c r="AG30" s="589"/>
      <c r="AH30" s="638"/>
      <c r="AI30" s="647"/>
      <c r="AJ30" s="604"/>
      <c r="AK30" s="628"/>
      <c r="AL30" s="589"/>
      <c r="AM30" s="657"/>
      <c r="AN30" s="609"/>
      <c r="AO30" s="861"/>
      <c r="AP30" s="595"/>
      <c r="AQ30" s="595"/>
      <c r="AR30" s="595"/>
      <c r="AS30" s="595"/>
      <c r="AT30" s="595"/>
      <c r="AU30" s="596"/>
      <c r="AV30" s="596"/>
      <c r="AW30" s="596"/>
      <c r="AX30" s="597"/>
    </row>
    <row r="31" spans="1:50" x14ac:dyDescent="0.2">
      <c r="A31" s="393" t="s">
        <v>290</v>
      </c>
      <c r="B31" s="394"/>
      <c r="C31" s="395"/>
      <c r="D31" s="396"/>
      <c r="E31" s="397"/>
      <c r="F31" s="397"/>
      <c r="G31" s="398"/>
      <c r="H31" s="398"/>
      <c r="I31" s="399"/>
      <c r="J31" s="398"/>
      <c r="K31" s="399"/>
      <c r="L31" s="398"/>
      <c r="M31" s="400"/>
      <c r="N31" s="398"/>
      <c r="O31" s="401"/>
      <c r="P31" s="402"/>
      <c r="Q31" s="403"/>
      <c r="R31" s="404"/>
      <c r="S31" s="404"/>
      <c r="T31" s="404"/>
      <c r="U31" s="405"/>
      <c r="V31" s="405"/>
      <c r="W31" s="405"/>
      <c r="X31" s="405"/>
      <c r="Y31" s="406"/>
      <c r="Z31" s="407"/>
      <c r="AA31" s="408"/>
      <c r="AB31" s="407"/>
      <c r="AC31" s="409"/>
      <c r="AD31" s="410"/>
      <c r="AE31" s="411"/>
      <c r="AF31" s="412"/>
      <c r="AG31" s="398"/>
      <c r="AH31" s="639"/>
      <c r="AI31" s="648"/>
      <c r="AJ31" s="413"/>
      <c r="AK31" s="629"/>
      <c r="AL31" s="398"/>
      <c r="AM31" s="658"/>
      <c r="AN31" s="329"/>
      <c r="AO31" s="862"/>
      <c r="AP31" s="330"/>
      <c r="AQ31" s="330"/>
      <c r="AR31" s="330"/>
      <c r="AS31" s="327"/>
      <c r="AT31" s="330"/>
      <c r="AU31" s="331"/>
      <c r="AV31" s="331"/>
      <c r="AW31" s="331"/>
      <c r="AX31" s="328"/>
    </row>
    <row r="32" spans="1:50" x14ac:dyDescent="0.2">
      <c r="A32" s="334"/>
      <c r="B32" s="340"/>
      <c r="C32" s="341"/>
      <c r="D32" s="338"/>
      <c r="E32" s="46"/>
      <c r="F32" s="46"/>
      <c r="G32" s="147"/>
      <c r="H32" s="147"/>
      <c r="I32" s="148"/>
      <c r="J32" s="147"/>
      <c r="K32" s="148"/>
      <c r="L32" s="147"/>
      <c r="M32" s="56"/>
      <c r="N32" s="148"/>
      <c r="O32" s="56"/>
      <c r="P32" s="279"/>
      <c r="Q32" s="160"/>
      <c r="R32" s="149"/>
      <c r="S32" s="149"/>
      <c r="T32" s="149"/>
      <c r="U32" s="150"/>
      <c r="V32" s="150"/>
      <c r="W32" s="150"/>
      <c r="X32" s="150"/>
      <c r="Y32" s="151"/>
      <c r="Z32" s="143"/>
      <c r="AA32" s="144"/>
      <c r="AB32" s="143"/>
      <c r="AC32" s="145"/>
      <c r="AD32" s="146"/>
      <c r="AE32" s="276"/>
      <c r="AF32" s="152"/>
      <c r="AG32" s="147"/>
      <c r="AH32" s="636"/>
      <c r="AI32" s="645"/>
      <c r="AJ32" s="269"/>
      <c r="AK32" s="626"/>
      <c r="AL32" s="147"/>
      <c r="AM32" s="655"/>
      <c r="AN32" s="154"/>
      <c r="AO32" s="156"/>
      <c r="AP32" s="155"/>
      <c r="AQ32" s="155"/>
      <c r="AR32" s="155"/>
      <c r="AS32" s="149"/>
      <c r="AT32" s="155"/>
      <c r="AU32" s="157"/>
      <c r="AV32" s="157"/>
      <c r="AW32" s="157"/>
      <c r="AX32" s="151"/>
    </row>
    <row r="33" spans="1:50" ht="12" thickBot="1" x14ac:dyDescent="0.25">
      <c r="A33" s="297"/>
      <c r="B33" s="343"/>
      <c r="C33" s="344"/>
      <c r="D33" s="161"/>
      <c r="E33" s="161"/>
      <c r="F33" s="161"/>
      <c r="G33" s="161"/>
      <c r="H33" s="161"/>
      <c r="I33" s="162"/>
      <c r="J33" s="161"/>
      <c r="K33" s="162"/>
      <c r="L33" s="161"/>
      <c r="M33" s="162"/>
      <c r="N33" s="162"/>
      <c r="O33" s="162"/>
      <c r="P33" s="280"/>
      <c r="Q33" s="163"/>
      <c r="R33" s="163"/>
      <c r="S33" s="163"/>
      <c r="T33" s="163"/>
      <c r="U33" s="164"/>
      <c r="V33" s="164"/>
      <c r="W33" s="164"/>
      <c r="X33" s="164"/>
      <c r="Y33" s="165"/>
      <c r="Z33" s="166"/>
      <c r="AA33" s="167"/>
      <c r="AB33" s="166"/>
      <c r="AC33" s="168"/>
      <c r="AD33" s="169"/>
      <c r="AE33" s="278"/>
      <c r="AF33" s="171"/>
      <c r="AG33" s="161"/>
      <c r="AH33" s="640"/>
      <c r="AI33" s="649"/>
      <c r="AJ33" s="270"/>
      <c r="AK33" s="632"/>
      <c r="AL33" s="161"/>
      <c r="AM33" s="659"/>
      <c r="AN33" s="170"/>
      <c r="AO33" s="863"/>
      <c r="AP33" s="163"/>
      <c r="AQ33" s="163"/>
      <c r="AR33" s="163"/>
      <c r="AS33" s="163"/>
      <c r="AT33" s="163"/>
      <c r="AU33" s="164"/>
      <c r="AV33" s="164"/>
      <c r="AW33" s="164"/>
      <c r="AX33"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35"/>
  <sheetViews>
    <sheetView workbookViewId="0">
      <pane xSplit="20" ySplit="6" topLeftCell="AI7" activePane="bottomRight" state="frozen"/>
      <selection pane="topRight" activeCell="U1" sqref="U1"/>
      <selection pane="bottomLeft" activeCell="A7" sqref="A7"/>
      <selection pane="bottomRight" activeCell="AN5" sqref="AN5"/>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5" width="7.125" style="3" customWidth="1"/>
    <col min="36" max="36" width="8.12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Dioxines</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IF($B$5=0,"",IF(INDEX(AK$1:AK$35,$B$5)="","",IF(AND(OR($AI5="",INGVAN="",$AI5&lt;=INGVAN),OR($AI5="",INGTOT="",$AI5&lt;=INGTOT)),1,0)))</f>
        <v/>
      </c>
      <c r="AL1" s="184" t="str">
        <f ca="1">IF($B$5=0,"",IF(INDEX(AK$1:AK$35,$B$5)="","",IF(AND(OR($AJ5="",INGVAN="",$AJ5&gt;=INGVAN),OR($AJ5="",INGTOT="",$AJ5&gt;=INGTOT)),1,0)))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435</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Dioxines</v>
      </c>
      <c r="AG3" s="129" t="s">
        <v>165</v>
      </c>
      <c r="AH3" s="633" t="s">
        <v>356</v>
      </c>
      <c r="AI3" s="642" t="s">
        <v>358</v>
      </c>
      <c r="AJ3" s="282" t="s">
        <v>359</v>
      </c>
      <c r="AK3" s="624" t="s">
        <v>251</v>
      </c>
      <c r="AL3" s="130" t="s">
        <v>183</v>
      </c>
      <c r="AM3" s="652" t="s">
        <v>209</v>
      </c>
      <c r="AN3" s="530" t="s">
        <v>534</v>
      </c>
      <c r="AO3" s="853"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IF(AND(AF5="",AF6=""),"",CONCATENATE(ROUND((100-IF(AF6="",0,ABRAND2))/100*IF(AF5="",0,AF5*(21-AG4)/(21-AG5))+IF(AF5="",100,ABRAND2)/100*IF(AF6="",0,AF6*(21-AG4)/(21-AG6)),3)," ",IF(A2="","",A2)," bij ",AG4," vol% O₂"))</f>
        <v/>
      </c>
      <c r="AG4" s="208" t="str">
        <f ca="1">IF(AG5="",AG6,AG5)</f>
        <v/>
      </c>
      <c r="AH4" s="634" t="str">
        <f ca="1">IF($C$6=0,AH5,IF($B$5=0,AH6,IF($B$5&lt;$C$6,AH5,AH6)))</f>
        <v/>
      </c>
      <c r="AI4" s="643"/>
      <c r="AJ4" s="208"/>
      <c r="AK4" s="696"/>
      <c r="AL4" s="208"/>
      <c r="AM4" s="653" t="str">
        <f ca="1">IF($C$6=0,AM5,IF($B$5=0,AM6,IF($B$5&lt;$C$6,AM5,AM6)))</f>
        <v/>
      </c>
      <c r="AN4" s="209"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54" t="str">
        <f t="shared" ref="AO4:AS4" ca="1" si="7">IF($C$6=0,AO5,IF($B$5=0,AO6,IF($B$5&lt;$C$6,AO5,AO6)))</f>
        <v/>
      </c>
      <c r="AP4" s="210" t="str">
        <f t="shared" ca="1" si="7"/>
        <v/>
      </c>
      <c r="AQ4" s="210" t="str">
        <f t="shared" ca="1" si="7"/>
        <v/>
      </c>
      <c r="AR4" s="211" t="str">
        <f t="shared" ca="1" si="7"/>
        <v/>
      </c>
      <c r="AS4" s="210" t="str">
        <f t="shared" ca="1" si="7"/>
        <v/>
      </c>
      <c r="AT4" s="210" t="str">
        <f t="shared" ref="AT4" ca="1" si="8">IF($C$6=0,AT5,IF($B$5=0,AT6,IF($B$5&lt;$C$6,AT5,AT6)))</f>
        <v/>
      </c>
      <c r="AU4" s="212"/>
      <c r="AV4" s="212"/>
      <c r="AW4" s="212"/>
      <c r="AX4" s="213" t="str">
        <f ca="1">AW2</f>
        <v/>
      </c>
    </row>
    <row r="5" spans="1:50" x14ac:dyDescent="0.2">
      <c r="A5" s="181" t="s">
        <v>29</v>
      </c>
      <c r="B5" s="192">
        <f ca="1">IF(Geldig,MAX(B8:B35),0)</f>
        <v>0</v>
      </c>
      <c r="C5" s="195"/>
      <c r="D5" s="192" t="str">
        <f t="shared" ref="D5:AF5" ca="1" si="9">IF($B$5=0,"",IF(INDEX(D$1:D$35,$B$5)="","",INDEX(D$1:D$35,$B$5)))</f>
        <v/>
      </c>
      <c r="E5" s="193" t="str">
        <f t="shared" ca="1" si="9"/>
        <v/>
      </c>
      <c r="F5" s="193" t="str">
        <f t="shared" ca="1" si="9"/>
        <v/>
      </c>
      <c r="G5" s="193" t="str">
        <f t="shared" ca="1" si="9"/>
        <v/>
      </c>
      <c r="H5" s="193" t="str">
        <f t="shared" ca="1" si="9"/>
        <v/>
      </c>
      <c r="I5" s="194" t="str">
        <f t="shared" ca="1" si="9"/>
        <v/>
      </c>
      <c r="J5" s="193" t="str">
        <f t="shared" ca="1" si="9"/>
        <v/>
      </c>
      <c r="K5" s="194" t="str">
        <f t="shared" ca="1" si="9"/>
        <v/>
      </c>
      <c r="L5" s="193" t="str">
        <f t="shared" ca="1" si="9"/>
        <v/>
      </c>
      <c r="M5" s="194" t="str">
        <f t="shared" ca="1" si="9"/>
        <v/>
      </c>
      <c r="N5" s="194" t="str">
        <f t="shared" ca="1" si="9"/>
        <v/>
      </c>
      <c r="O5" s="195" t="str">
        <f t="shared" ca="1" si="9"/>
        <v/>
      </c>
      <c r="P5" s="187" t="str">
        <f t="shared" ca="1" si="9"/>
        <v/>
      </c>
      <c r="Q5" s="214" t="str">
        <f t="shared" ca="1" si="9"/>
        <v/>
      </c>
      <c r="R5" s="214" t="str">
        <f t="shared" ca="1" si="9"/>
        <v/>
      </c>
      <c r="S5" s="214" t="str">
        <f t="shared" ca="1" si="9"/>
        <v/>
      </c>
      <c r="T5" s="214" t="str">
        <f t="shared" ca="1" si="9"/>
        <v/>
      </c>
      <c r="U5" s="214" t="str">
        <f t="shared" ca="1" si="9"/>
        <v/>
      </c>
      <c r="V5" s="215" t="str">
        <f t="shared" ca="1" si="9"/>
        <v/>
      </c>
      <c r="W5" s="215" t="str">
        <f t="shared" ca="1" si="9"/>
        <v/>
      </c>
      <c r="X5" s="215" t="str">
        <f t="shared" ca="1" si="9"/>
        <v/>
      </c>
      <c r="Y5" s="216" t="str">
        <f t="shared" ca="1" si="9"/>
        <v/>
      </c>
      <c r="Z5" s="217" t="str">
        <f t="shared" ca="1" si="9"/>
        <v/>
      </c>
      <c r="AA5" s="218" t="str">
        <f t="shared" ca="1" si="9"/>
        <v/>
      </c>
      <c r="AB5" s="217" t="str">
        <f t="shared" ca="1" si="9"/>
        <v/>
      </c>
      <c r="AC5" s="219" t="str">
        <f t="shared" ca="1" si="9"/>
        <v/>
      </c>
      <c r="AD5" s="220" t="str">
        <f t="shared" ca="1" si="9"/>
        <v/>
      </c>
      <c r="AE5" s="221" t="str">
        <f t="shared" ca="1" si="9"/>
        <v/>
      </c>
      <c r="AF5" s="222" t="str">
        <f t="shared" ca="1" si="9"/>
        <v/>
      </c>
      <c r="AG5" s="223" t="str">
        <f ca="1">IF($B$5=0,"",IF(INDEX(AG$1:AG$35,$B$5)="",O2BRAND1,INDEX(AG$1:AG$35,$B$5)))</f>
        <v/>
      </c>
      <c r="AH5" s="225" t="str">
        <f ca="1">IF($B$5=0,"",IF(INDEX(AH$1:AH$35,$B$5)="","",INDEX(AH$1:AH$35,$B$5)))</f>
        <v/>
      </c>
      <c r="AI5" s="661" t="str">
        <f ca="1">IF($B$5=0,"",IF(INDEX(AI$1:AI$35,$B$5)="","",INDEX(AI$1:AI$35,$B$5)))</f>
        <v/>
      </c>
      <c r="AJ5" s="218" t="str">
        <f ca="1">IF($B$5=0,"",IF(INDEX(AJ$1:AJ$35,$B$5)="","",INDEX(AJ$1:AJ$35,$B$5)))</f>
        <v/>
      </c>
      <c r="AK5" s="651" t="str">
        <f ca="1">IF($B$5=0,"",IF(INDEX(AK$1:AK$35,$B$5)="","",IF(AND(OR($AI5="",INGVAN="",$AI5&lt;=INGVAN),OR($AI5="",INGTOT="",$AI5&lt;=INGTOT),OR($AJ5="",INGVAN="",$AJ5&gt;=INGVAN),OR($AJ5="",INGTOT="",$AJ5&gt;=INGTOT)),INDEX(AK$1:AK$35,$B$5),"")))</f>
        <v/>
      </c>
      <c r="AL5" s="223" t="str">
        <f ca="1">IF($B$5=0,"",IF(INDEX(AL$1:AL$35,$B$5)="","",IF(AND(OR($AI5="",INGVAN="",$AI5&lt;=INGVAN),OR($AI5="",INGTOT="",$AI5&lt;=INGTOT),OR($AJ5="",INGVAN="",$AJ5&gt;=INGVAN),OR($AJ5="",INGTOT="",$AJ5&gt;=INGTOT)),INDEX(AL$1:AL$35,$B$5),"")))</f>
        <v/>
      </c>
      <c r="AM5" s="224" t="str">
        <f ca="1">IF($B$5=0,"",IF(INDEX(AM$1:AM$35,$B$5)="","",IF(AND(OR($AI5="",INGVAN="",$AI5&lt;=INGVAN),OR($AI5="",INGTOT="",$AI5&lt;=INGTOT),OR($AJ5="",INGVAN="",$AJ5&gt;=INGVAN),OR($AJ5="",INGTOT="",$AJ5&gt;=INGTOT)),INDEX(AM$1:AM$35,$B$5),"")))</f>
        <v/>
      </c>
      <c r="AN5" s="226"/>
      <c r="AO5" s="855" t="str">
        <f t="shared" ref="AO5:AW5" ca="1" si="10">IF($B$5=0,"",IF(INDEX(AO$1:AO$35,$B$5)="","",INDEX(AO$1:AO$35,$B$5)))</f>
        <v/>
      </c>
      <c r="AP5" s="227" t="str">
        <f t="shared" ca="1" si="10"/>
        <v/>
      </c>
      <c r="AQ5" s="227" t="str">
        <f t="shared" ca="1" si="10"/>
        <v/>
      </c>
      <c r="AR5" s="227" t="str">
        <f t="shared" ca="1" si="10"/>
        <v/>
      </c>
      <c r="AS5" s="227" t="str">
        <f t="shared" ca="1" si="10"/>
        <v/>
      </c>
      <c r="AT5" s="227" t="str">
        <f t="shared" ca="1" si="10"/>
        <v/>
      </c>
      <c r="AU5" s="227" t="str">
        <f t="shared" ca="1" si="10"/>
        <v/>
      </c>
      <c r="AV5" s="227" t="str">
        <f t="shared" ca="1" si="10"/>
        <v/>
      </c>
      <c r="AW5" s="227" t="str">
        <f t="shared" ca="1" si="10"/>
        <v/>
      </c>
      <c r="AX5" s="228"/>
    </row>
    <row r="6" spans="1:50" ht="12" thickBot="1" x14ac:dyDescent="0.25">
      <c r="A6" s="182" t="s">
        <v>30</v>
      </c>
      <c r="B6" s="190"/>
      <c r="C6" s="191">
        <f ca="1">MAX(C8:C35)</f>
        <v>0</v>
      </c>
      <c r="D6" s="196" t="str">
        <f t="shared" ref="D6:AF6" ca="1" si="11">IF($C$6=0,"",IF(INDEX(D$1:D$35,$C$6)="","",INDEX(D$1:D$35,$C$6)))</f>
        <v/>
      </c>
      <c r="E6" s="196" t="str">
        <f t="shared" ca="1" si="11"/>
        <v/>
      </c>
      <c r="F6" s="196" t="str">
        <f t="shared" ca="1" si="11"/>
        <v/>
      </c>
      <c r="G6" s="196" t="str">
        <f t="shared" ca="1" si="11"/>
        <v/>
      </c>
      <c r="H6" s="196" t="str">
        <f t="shared" ca="1" si="11"/>
        <v/>
      </c>
      <c r="I6" s="197" t="str">
        <f t="shared" ca="1" si="11"/>
        <v/>
      </c>
      <c r="J6" s="196" t="str">
        <f t="shared" ca="1" si="11"/>
        <v/>
      </c>
      <c r="K6" s="197" t="str">
        <f t="shared" ca="1" si="11"/>
        <v/>
      </c>
      <c r="L6" s="196" t="str">
        <f t="shared" ca="1" si="11"/>
        <v/>
      </c>
      <c r="M6" s="197" t="str">
        <f t="shared" ca="1" si="11"/>
        <v/>
      </c>
      <c r="N6" s="197" t="str">
        <f t="shared" ca="1" si="11"/>
        <v/>
      </c>
      <c r="O6" s="197" t="str">
        <f t="shared" ca="1" si="11"/>
        <v/>
      </c>
      <c r="P6" s="229" t="str">
        <f t="shared" ca="1" si="11"/>
        <v/>
      </c>
      <c r="Q6" s="230" t="str">
        <f t="shared" ca="1" si="11"/>
        <v/>
      </c>
      <c r="R6" s="230" t="str">
        <f t="shared" ca="1" si="11"/>
        <v/>
      </c>
      <c r="S6" s="230" t="str">
        <f t="shared" ca="1" si="11"/>
        <v/>
      </c>
      <c r="T6" s="230" t="str">
        <f t="shared" ca="1" si="11"/>
        <v/>
      </c>
      <c r="U6" s="230" t="str">
        <f t="shared" ca="1" si="11"/>
        <v/>
      </c>
      <c r="V6" s="231" t="str">
        <f t="shared" ca="1" si="11"/>
        <v/>
      </c>
      <c r="W6" s="231" t="str">
        <f t="shared" ca="1" si="11"/>
        <v/>
      </c>
      <c r="X6" s="231" t="str">
        <f t="shared" ca="1" si="11"/>
        <v/>
      </c>
      <c r="Y6" s="232" t="str">
        <f t="shared" ca="1" si="11"/>
        <v/>
      </c>
      <c r="Z6" s="233" t="str">
        <f t="shared" ca="1" si="11"/>
        <v/>
      </c>
      <c r="AA6" s="234" t="str">
        <f t="shared" ca="1" si="11"/>
        <v/>
      </c>
      <c r="AB6" s="233" t="str">
        <f t="shared" ca="1" si="11"/>
        <v/>
      </c>
      <c r="AC6" s="235" t="str">
        <f t="shared" ca="1" si="11"/>
        <v/>
      </c>
      <c r="AD6" s="236" t="str">
        <f t="shared" ca="1" si="11"/>
        <v/>
      </c>
      <c r="AE6" s="237" t="str">
        <f t="shared" ca="1" si="11"/>
        <v/>
      </c>
      <c r="AF6" s="196" t="str">
        <f t="shared" ca="1" si="11"/>
        <v/>
      </c>
      <c r="AG6" s="238" t="str">
        <f ca="1">IF($C$6=0,"",IF(INDEX(AG$1:AG$35,$C$6)="",O2BRAND2,INDEX(AG$1:AG$35,$C$6)))</f>
        <v/>
      </c>
      <c r="AH6" s="239" t="str">
        <f ca="1">IF($C$6=0,"",IF(INDEX(AH$1:AH$35,$C$6)="","",INDEX(AH$1:AH$35,$C$6)))</f>
        <v/>
      </c>
      <c r="AI6" s="662" t="str">
        <f ca="1">IF($C$6=0,"",IF(INDEX(AI$1:AI$35,$C$6)="","",INDEX(AI$1:AI$35,$C$6)))</f>
        <v/>
      </c>
      <c r="AJ6" s="234" t="str">
        <f ca="1">IF($C$6=0,"",IF(INDEX(AJ$1:AJ$35,$C$6)="","",INDEX(AJ$1:AJ$35,$C$6)))</f>
        <v/>
      </c>
      <c r="AK6" s="672" t="str">
        <f ca="1">IF($C$6=0,"",IF(INDEX(AK$1:AK$35,$C$6)="","",IF(AND(OR($AI6="",INGVAN="",$AI6&lt;=INGVAN),OR($AI6="",INGTOT="",$AI6&lt;=INGTOT),OR($AJ6="",INGVAN="",$AJ6&gt;=INGVAN),OR($AJ6="",INGTOT="",$AJ6&gt;=INGTOT)),INDEX(AK$1:AK$35,$C$6),"")))</f>
        <v/>
      </c>
      <c r="AL6" s="238" t="str">
        <f ca="1">IF($C$6=0,"",IF(INDEX(AL$1:AL$35,$C$6)="","",IF(AND(OR($AI6="",INGVAN="",$AI6&lt;=INGVAN),OR($AI6="",INGTOT="",$AI6&lt;=INGTOT),OR($AJ6="",INGVAN="",$AJ6&gt;=INGVAN),OR($AJ6="",INGTOT="",$AJ6&gt;=INGTOT)),INDEX(AL$1:AL$35,$C$6),"")))</f>
        <v/>
      </c>
      <c r="AM6" s="673" t="str">
        <f ca="1">IF($C$6=0,"",IF(INDEX(AM$1:AM$35,$C$6)="","",IF(AND(OR($AI6="",INGVAN="",$AI6&lt;=INGVAN),OR($AI6="",INGTOT="",$AI6&lt;=INGTOT),OR($AJ6="",INGVAN="",$AJ6&gt;=INGVAN),OR($AJ6="",INGTOT="",$AJ6&gt;=INGTOT)),INDEX(AM$1:AM$35,$C$6),"")))</f>
        <v/>
      </c>
      <c r="AN6" s="240"/>
      <c r="AO6" s="856" t="str">
        <f t="shared" ref="AO6:AW6" ca="1" si="12">IF($C$6=0,"",IF(INDEX(AO$1:AO$35,$C$6)="","",INDEX(AO$1:AO$35,$C$6)))</f>
        <v/>
      </c>
      <c r="AP6" s="241" t="str">
        <f t="shared" ca="1" si="12"/>
        <v/>
      </c>
      <c r="AQ6" s="241" t="str">
        <f t="shared" ca="1" si="12"/>
        <v/>
      </c>
      <c r="AR6" s="241" t="str">
        <f t="shared" ca="1" si="12"/>
        <v/>
      </c>
      <c r="AS6" s="241" t="str">
        <f t="shared" ca="1" si="12"/>
        <v/>
      </c>
      <c r="AT6" s="241" t="str">
        <f t="shared" ca="1" si="12"/>
        <v/>
      </c>
      <c r="AU6" s="241" t="str">
        <f t="shared" ca="1" si="12"/>
        <v/>
      </c>
      <c r="AV6" s="241" t="str">
        <f t="shared" ca="1" si="12"/>
        <v/>
      </c>
      <c r="AW6" s="241" t="str">
        <f t="shared" ca="1" si="12"/>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322"/>
      <c r="AO7" s="857" t="s">
        <v>431</v>
      </c>
      <c r="AP7" s="323" t="s">
        <v>442</v>
      </c>
      <c r="AQ7" s="323"/>
      <c r="AR7" s="323" t="s">
        <v>443</v>
      </c>
      <c r="AS7" s="323"/>
      <c r="AT7" s="320"/>
      <c r="AU7" s="321"/>
      <c r="AV7" s="321"/>
      <c r="AW7" s="321"/>
      <c r="AX7" s="319"/>
    </row>
    <row r="8" spans="1:50" x14ac:dyDescent="0.2">
      <c r="A8" s="295"/>
      <c r="B8" s="339">
        <f t="shared" ref="B8:B14" ca="1" si="13">IF(AND(SUM(D8:K8,L8:M8)=COUNT(D8:K8,L8:M8),COUNT(D8:K8,L8:M8)&gt;0),ROW(B8),0)</f>
        <v>0</v>
      </c>
      <c r="C8" s="249">
        <f t="shared" ref="C8:C14" ca="1" si="14">IF(AND(SUM(D8:K8,N8:O8)=COUNT(D8:K8,N8:O8),COUNT(D8:K8,N8:O8)&gt;0),ROW(B8),0)</f>
        <v>0</v>
      </c>
      <c r="D8" s="246">
        <f ca="1">IF(AND(OR($Z8="",INGVAN="",$Z8&lt;=INGVAN),OR($Z8="",INGTOT="",$Z8&lt;=INGTOT),OR($AA8="",INGVAN="",$AA8&gt;=INGVAN),OR($AA8="",INGTOT="",$AA8&gt;=INGTOT)),1,0)</f>
        <v>1</v>
      </c>
      <c r="E8" s="247">
        <f t="shared" ref="E8:E14" ca="1" si="15">IF(AND(OR($AB8="",Tdatum&gt;=$AB8,AND(AB8&lt;&gt;"",ISNUMBER(FIND("j",LOWER(AD8))))),OR($AC8="",Tdatum&lt;=$AC8)),1,0)</f>
        <v>1</v>
      </c>
      <c r="F8" s="247">
        <f t="shared" ref="F8:F14" ca="1" si="16">IF(AND(OR($S8="",MW&gt;=$S8),OR($T8="",$T8&gt;MW)),1,0)</f>
        <v>1</v>
      </c>
      <c r="G8" s="147">
        <f ca="1">IF(Afvalvernietiging,1,0)</f>
        <v>0</v>
      </c>
      <c r="H8" s="147"/>
      <c r="I8" s="147"/>
      <c r="J8" s="147"/>
      <c r="K8" s="148"/>
      <c r="L8" s="147">
        <f ca="1">IF(OR(TBRAND1=3,AND(G8=1,N8=0)),1,0)</f>
        <v>0</v>
      </c>
      <c r="M8" s="248">
        <f t="shared" ref="M8" ca="1" si="17">IF(AND(ParBAL1&lt;&gt;"",ParBAL1=P8),1,0)</f>
        <v>0</v>
      </c>
      <c r="N8" s="147">
        <f ca="1">IF(TBRAND2=3,1,0)</f>
        <v>0</v>
      </c>
      <c r="O8" s="249">
        <f t="shared" ref="O8" ca="1" si="18">IF(AND(ParBAL2&lt;&gt;"",ParBAL2=P8),1,0)</f>
        <v>0</v>
      </c>
      <c r="P8" s="279" t="s">
        <v>39</v>
      </c>
      <c r="Q8" s="149" t="s">
        <v>48</v>
      </c>
      <c r="R8" s="149" t="s">
        <v>265</v>
      </c>
      <c r="S8" s="149"/>
      <c r="T8" s="149"/>
      <c r="U8" s="150"/>
      <c r="V8" s="150"/>
      <c r="W8" s="150"/>
      <c r="X8" s="150"/>
      <c r="Y8" s="151"/>
      <c r="Z8" s="143"/>
      <c r="AA8" s="144"/>
      <c r="AB8" s="143"/>
      <c r="AC8" s="145"/>
      <c r="AD8" s="146"/>
      <c r="AE8" s="276" t="s">
        <v>121</v>
      </c>
      <c r="AF8" s="152" t="s">
        <v>436</v>
      </c>
      <c r="AG8" s="147"/>
      <c r="AH8" s="636"/>
      <c r="AI8" s="645"/>
      <c r="AJ8" s="663">
        <v>43781</v>
      </c>
      <c r="AK8" s="626" t="s">
        <v>123</v>
      </c>
      <c r="AL8" s="699">
        <v>0.06</v>
      </c>
      <c r="AM8" s="655"/>
      <c r="AN8" s="324"/>
      <c r="AO8" s="349" t="str">
        <f>AO$7</f>
        <v xml:space="preserve">Op grond van artikel 4.81 1e lid geldt een halfjaarlijkse periodieke meetverplichting. Op basis van het atikel 4.81 2e of 5e lid kan een afwijkende meetfrequentie van toepassing zijn. </v>
      </c>
      <c r="AP8" s="325" t="str">
        <f t="shared" ref="AP8:AR11" si="19">AP$7</f>
        <v>Een periodieke meting bestaat uit één deelmeting van ten minste 30 minuten en ten hoogste acht uur. De metingen worden uitgevoerd door een geaccrediteerd laboratorium volgens NEN-EN 1948-1, NEN-EN 1948-2 en NEN-EN 1948-3 (art. 4.78 en 4.84).</v>
      </c>
      <c r="AQ8" s="325"/>
      <c r="AR8" s="325" t="str">
        <f t="shared" si="19"/>
        <v>De installatie voldoet aan de gestelde emissie-eis als gevalideerde meetresultaten lager dan de emissie-eis zijn (art. 4.90). Een gevalideerde waarde is de waarde nadat de aangetoonde meetonzekerheid in mindering is gebracht.</v>
      </c>
      <c r="AS8" s="325"/>
      <c r="AT8" s="149"/>
      <c r="AU8" s="150"/>
      <c r="AV8" s="150"/>
      <c r="AW8" s="150"/>
      <c r="AX8" s="151"/>
    </row>
    <row r="9" spans="1:50" x14ac:dyDescent="0.2">
      <c r="A9" s="295"/>
      <c r="B9" s="339">
        <f t="shared" ca="1" si="13"/>
        <v>0</v>
      </c>
      <c r="C9" s="249">
        <f t="shared" ca="1" si="14"/>
        <v>0</v>
      </c>
      <c r="D9" s="246">
        <f ca="1">IF(AND(OR($Z9="",INGVAN="",$Z9&lt;=INGVAN),OR($Z9="",INGTOT="",$Z9&lt;=INGTOT),OR($AA9="",INGVAN="",$AA9&gt;=INGVAN),OR($AA9="",INGTOT="",$AA9&gt;=INGTOT)),1,0)</f>
        <v>1</v>
      </c>
      <c r="E9" s="247">
        <f t="shared" ca="1" si="15"/>
        <v>1</v>
      </c>
      <c r="F9" s="247">
        <f t="shared" ca="1" si="16"/>
        <v>0</v>
      </c>
      <c r="G9" s="147">
        <f ca="1">IF(EnergieUitAfval,1,0)</f>
        <v>0</v>
      </c>
      <c r="H9" s="147"/>
      <c r="I9" s="147"/>
      <c r="J9" s="147"/>
      <c r="K9" s="148"/>
      <c r="L9" s="147">
        <f ca="1">IF(TBRAND1=3,1,0)</f>
        <v>0</v>
      </c>
      <c r="M9" s="248">
        <f t="shared" ref="M9:M11" ca="1" si="20">IF(AND(ParBAL1&lt;&gt;"",ParBAL1=P9),1,0)</f>
        <v>0</v>
      </c>
      <c r="N9" s="147">
        <f ca="1">IF(TBRAND2=3,1,0)</f>
        <v>0</v>
      </c>
      <c r="O9" s="249">
        <f t="shared" ref="O9:O11" ca="1" si="21">IF(AND(ParBAL2&lt;&gt;"",ParBAL2=P9),1,0)</f>
        <v>0</v>
      </c>
      <c r="P9" s="279" t="s">
        <v>39</v>
      </c>
      <c r="Q9" s="149" t="s">
        <v>429</v>
      </c>
      <c r="R9" s="149" t="s">
        <v>46</v>
      </c>
      <c r="S9" s="149">
        <v>50</v>
      </c>
      <c r="T9" s="149"/>
      <c r="U9" s="150"/>
      <c r="V9" s="150"/>
      <c r="W9" s="150"/>
      <c r="X9" s="150"/>
      <c r="Y9" s="151"/>
      <c r="Z9" s="143"/>
      <c r="AA9" s="144"/>
      <c r="AB9" s="143"/>
      <c r="AC9" s="145"/>
      <c r="AD9" s="146"/>
      <c r="AE9" s="276" t="s">
        <v>416</v>
      </c>
      <c r="AF9" s="152" t="s">
        <v>436</v>
      </c>
      <c r="AG9" s="147">
        <v>6</v>
      </c>
      <c r="AH9" s="636"/>
      <c r="AI9" s="645"/>
      <c r="AJ9" s="269"/>
      <c r="AK9" s="626"/>
      <c r="AL9" s="147"/>
      <c r="AM9" s="655"/>
      <c r="AN9" s="324"/>
      <c r="AO9" s="349" t="str">
        <f t="shared" ref="AO9:AO11" si="22">AO$7</f>
        <v xml:space="preserve">Op grond van artikel 4.81 1e lid geldt een halfjaarlijkse periodieke meetverplichting. Op basis van het atikel 4.81 2e of 5e lid kan een afwijkende meetfrequentie van toepassing zijn. </v>
      </c>
      <c r="AP9" s="325" t="str">
        <f t="shared" si="19"/>
        <v>Een periodieke meting bestaat uit één deelmeting van ten minste 30 minuten en ten hoogste acht uur. De metingen worden uitgevoerd door een geaccrediteerd laboratorium volgens NEN-EN 1948-1, NEN-EN 1948-2 en NEN-EN 1948-3 (art. 4.78 en 4.84).</v>
      </c>
      <c r="AQ9" s="325"/>
      <c r="AR9" s="325" t="str">
        <f t="shared" si="19"/>
        <v>De installatie voldoet aan de gestelde emissie-eis als gevalideerde meetresultaten lager dan de emissie-eis zijn (art. 4.90). Een gevalideerde waarde is de waarde nadat de aangetoonde meetonzekerheid in mindering is gebracht.</v>
      </c>
      <c r="AS9" s="325"/>
      <c r="AT9" s="155"/>
      <c r="AU9" s="157"/>
      <c r="AV9" s="157"/>
      <c r="AW9" s="157"/>
      <c r="AX9" s="158"/>
    </row>
    <row r="10" spans="1:50" x14ac:dyDescent="0.2">
      <c r="A10" s="295"/>
      <c r="B10" s="339">
        <f t="shared" ca="1" si="13"/>
        <v>0</v>
      </c>
      <c r="C10" s="249">
        <f t="shared" ca="1" si="14"/>
        <v>0</v>
      </c>
      <c r="D10" s="246">
        <f ca="1">IF(AND(OR($Z10="",INGVAN="",$Z10&lt;=INGVAN),OR($Z10="",INGTOT="",$Z10&lt;=INGTOT),OR($AA10="",INGVAN="",$AA10&gt;=INGVAN),OR($AA10="",INGTOT="",$AA10&gt;=INGTOT)),1,0)</f>
        <v>1</v>
      </c>
      <c r="E10" s="247">
        <f t="shared" ca="1" si="15"/>
        <v>1</v>
      </c>
      <c r="F10" s="247">
        <f t="shared" ca="1" si="16"/>
        <v>1</v>
      </c>
      <c r="G10" s="147">
        <f ca="1">IF(EnergieUitAfval,1,0)</f>
        <v>0</v>
      </c>
      <c r="H10" s="147"/>
      <c r="I10" s="147"/>
      <c r="J10" s="147"/>
      <c r="K10" s="148"/>
      <c r="L10" s="147">
        <f ca="1">IF(TBRAND1=3,1,0)</f>
        <v>0</v>
      </c>
      <c r="M10" s="248">
        <f t="shared" ca="1" si="20"/>
        <v>0</v>
      </c>
      <c r="N10" s="147">
        <f ca="1">IF(TBRAND2=3,1,0)</f>
        <v>0</v>
      </c>
      <c r="O10" s="249">
        <f t="shared" ca="1" si="21"/>
        <v>0</v>
      </c>
      <c r="P10" s="279" t="s">
        <v>39</v>
      </c>
      <c r="Q10" s="149" t="s">
        <v>430</v>
      </c>
      <c r="R10" s="149" t="s">
        <v>46</v>
      </c>
      <c r="S10" s="149"/>
      <c r="T10" s="149">
        <v>50</v>
      </c>
      <c r="U10" s="150"/>
      <c r="V10" s="150"/>
      <c r="W10" s="150"/>
      <c r="X10" s="150"/>
      <c r="Y10" s="151"/>
      <c r="Z10" s="143"/>
      <c r="AA10" s="144"/>
      <c r="AB10" s="143"/>
      <c r="AC10" s="145"/>
      <c r="AD10" s="146"/>
      <c r="AE10" s="276" t="s">
        <v>416</v>
      </c>
      <c r="AF10" s="152" t="s">
        <v>437</v>
      </c>
      <c r="AG10" s="147">
        <v>6</v>
      </c>
      <c r="AH10" s="636"/>
      <c r="AI10" s="645"/>
      <c r="AJ10" s="269"/>
      <c r="AK10" s="626"/>
      <c r="AL10" s="147"/>
      <c r="AM10" s="655"/>
      <c r="AN10" s="324"/>
      <c r="AO10" s="349" t="str">
        <f t="shared" si="22"/>
        <v xml:space="preserve">Op grond van artikel 4.81 1e lid geldt een halfjaarlijkse periodieke meetverplichting. Op basis van het atikel 4.81 2e of 5e lid kan een afwijkende meetfrequentie van toepassing zijn. </v>
      </c>
      <c r="AP10" s="325" t="str">
        <f t="shared" si="19"/>
        <v>Een periodieke meting bestaat uit één deelmeting van ten minste 30 minuten en ten hoogste acht uur. De metingen worden uitgevoerd door een geaccrediteerd laboratorium volgens NEN-EN 1948-1, NEN-EN 1948-2 en NEN-EN 1948-3 (art. 4.78 en 4.84).</v>
      </c>
      <c r="AQ10" s="325"/>
      <c r="AR10" s="325" t="str">
        <f t="shared" si="19"/>
        <v>De installatie voldoet aan de gestelde emissie-eis als gevalideerde meetresultaten lager dan de emissie-eis zijn (art. 4.90). Een gevalideerde waarde is de waarde nadat de aangetoonde meetonzekerheid in mindering is gebracht.</v>
      </c>
      <c r="AS10" s="325"/>
      <c r="AT10" s="155"/>
      <c r="AU10" s="157"/>
      <c r="AV10" s="157"/>
      <c r="AW10" s="157"/>
      <c r="AX10" s="158"/>
    </row>
    <row r="11" spans="1:50" x14ac:dyDescent="0.2">
      <c r="A11" s="295"/>
      <c r="B11" s="339">
        <f t="shared" ca="1" si="13"/>
        <v>0</v>
      </c>
      <c r="C11" s="249">
        <f t="shared" ca="1" si="14"/>
        <v>0</v>
      </c>
      <c r="D11" s="246">
        <f ca="1">IF(AND(OR($Z11="",INGVAN="",$Z11&lt;=INGVAN),OR($Z11="",INGTOT="",$Z11&lt;=INGTOT),OR($AA11="",INGVAN="",$AA11&gt;=INGVAN),OR($AA11="",INGTOT="",$AA11&gt;=INGTOT)),1,0)</f>
        <v>1</v>
      </c>
      <c r="E11" s="247">
        <f t="shared" ca="1" si="15"/>
        <v>1</v>
      </c>
      <c r="F11" s="247">
        <f t="shared" ca="1" si="16"/>
        <v>1</v>
      </c>
      <c r="G11" s="147">
        <f ca="1">IF(SI=17,1,0)</f>
        <v>0</v>
      </c>
      <c r="H11" s="148"/>
      <c r="I11" s="147"/>
      <c r="J11" s="159"/>
      <c r="K11" s="148"/>
      <c r="L11" s="147">
        <f ca="1">IF(TBRAND1=3,1,0)</f>
        <v>0</v>
      </c>
      <c r="M11" s="248">
        <f t="shared" ca="1" si="20"/>
        <v>0</v>
      </c>
      <c r="N11" s="147">
        <f ca="1">IF(TBRAND2=3,1,0)</f>
        <v>0</v>
      </c>
      <c r="O11" s="249">
        <f t="shared" ca="1" si="21"/>
        <v>0</v>
      </c>
      <c r="P11" s="279" t="s">
        <v>39</v>
      </c>
      <c r="Q11" s="160" t="s">
        <v>128</v>
      </c>
      <c r="R11" s="149"/>
      <c r="S11" s="149"/>
      <c r="T11" s="149"/>
      <c r="U11" s="150"/>
      <c r="V11" s="150"/>
      <c r="W11" s="150"/>
      <c r="X11" s="150"/>
      <c r="Y11" s="151"/>
      <c r="Z11" s="143"/>
      <c r="AA11" s="144"/>
      <c r="AB11" s="143"/>
      <c r="AC11" s="145"/>
      <c r="AD11" s="146"/>
      <c r="AE11" s="276" t="s">
        <v>130</v>
      </c>
      <c r="AF11" s="152" t="s">
        <v>437</v>
      </c>
      <c r="AG11" s="147"/>
      <c r="AH11" s="636"/>
      <c r="AI11" s="645"/>
      <c r="AJ11" s="269"/>
      <c r="AK11" s="626"/>
      <c r="AL11" s="147"/>
      <c r="AM11" s="655"/>
      <c r="AN11" s="324"/>
      <c r="AO11" s="349" t="str">
        <f t="shared" si="22"/>
        <v xml:space="preserve">Op grond van artikel 4.81 1e lid geldt een halfjaarlijkse periodieke meetverplichting. Op basis van het atikel 4.81 2e of 5e lid kan een afwijkende meetfrequentie van toepassing zijn. </v>
      </c>
      <c r="AP11" s="325" t="str">
        <f t="shared" si="19"/>
        <v>Een periodieke meting bestaat uit één deelmeting van ten minste 30 minuten en ten hoogste acht uur. De metingen worden uitgevoerd door een geaccrediteerd laboratorium volgens NEN-EN 1948-1, NEN-EN 1948-2 en NEN-EN 1948-3 (art. 4.78 en 4.84).</v>
      </c>
      <c r="AQ11" s="325"/>
      <c r="AR11" s="325" t="str">
        <f t="shared" si="19"/>
        <v>De installatie voldoet aan de gestelde emissie-eis als gevalideerde meetresultaten lager dan de emissie-eis zijn (art. 4.90). Een gevalideerde waarde is de waarde nadat de aangetoonde meetonzekerheid in mindering is gebracht.</v>
      </c>
      <c r="AS11" s="325"/>
      <c r="AT11" s="155"/>
      <c r="AU11" s="157"/>
      <c r="AV11" s="157"/>
      <c r="AW11" s="157"/>
      <c r="AX11" s="151"/>
    </row>
    <row r="12" spans="1:50" x14ac:dyDescent="0.2">
      <c r="A12" s="295"/>
      <c r="B12" s="340"/>
      <c r="C12" s="341"/>
      <c r="D12" s="326"/>
      <c r="E12" s="46"/>
      <c r="F12" s="46"/>
      <c r="G12" s="147"/>
      <c r="H12" s="147"/>
      <c r="I12" s="148"/>
      <c r="J12" s="147"/>
      <c r="K12" s="148"/>
      <c r="L12" s="147"/>
      <c r="M12" s="56"/>
      <c r="N12" s="147"/>
      <c r="O12" s="59"/>
      <c r="P12" s="279"/>
      <c r="Q12" s="160"/>
      <c r="R12" s="149"/>
      <c r="S12" s="149"/>
      <c r="T12" s="149"/>
      <c r="U12" s="150"/>
      <c r="V12" s="150"/>
      <c r="W12" s="150"/>
      <c r="X12" s="150"/>
      <c r="Y12" s="151"/>
      <c r="Z12" s="143"/>
      <c r="AA12" s="144"/>
      <c r="AB12" s="143"/>
      <c r="AC12" s="145"/>
      <c r="AD12" s="146"/>
      <c r="AE12" s="276"/>
      <c r="AF12" s="152"/>
      <c r="AG12" s="147"/>
      <c r="AH12" s="636"/>
      <c r="AI12" s="645"/>
      <c r="AJ12" s="269"/>
      <c r="AK12" s="626"/>
      <c r="AL12" s="147"/>
      <c r="AM12" s="655"/>
      <c r="AN12" s="683"/>
      <c r="AO12" s="685"/>
      <c r="AP12" s="684"/>
      <c r="AQ12" s="684"/>
      <c r="AR12" s="684"/>
      <c r="AS12" s="149"/>
      <c r="AT12" s="155"/>
      <c r="AU12" s="157"/>
      <c r="AV12" s="157"/>
      <c r="AW12" s="157"/>
      <c r="AX12" s="151"/>
    </row>
    <row r="13" spans="1:50" x14ac:dyDescent="0.2">
      <c r="A13" s="363" t="s">
        <v>337</v>
      </c>
      <c r="B13" s="364"/>
      <c r="C13" s="365"/>
      <c r="D13" s="366"/>
      <c r="E13" s="367"/>
      <c r="F13" s="367"/>
      <c r="G13" s="368"/>
      <c r="H13" s="368"/>
      <c r="I13" s="369"/>
      <c r="J13" s="368"/>
      <c r="K13" s="369"/>
      <c r="L13" s="368"/>
      <c r="M13" s="370"/>
      <c r="N13" s="368"/>
      <c r="O13" s="371"/>
      <c r="P13" s="372"/>
      <c r="Q13" s="373"/>
      <c r="R13" s="374"/>
      <c r="S13" s="374"/>
      <c r="T13" s="374"/>
      <c r="U13" s="375"/>
      <c r="V13" s="375"/>
      <c r="W13" s="375"/>
      <c r="X13" s="375"/>
      <c r="Y13" s="376"/>
      <c r="Z13" s="377"/>
      <c r="AA13" s="378"/>
      <c r="AB13" s="377"/>
      <c r="AC13" s="379"/>
      <c r="AD13" s="380"/>
      <c r="AE13" s="381"/>
      <c r="AF13" s="382"/>
      <c r="AG13" s="368"/>
      <c r="AH13" s="637"/>
      <c r="AI13" s="646"/>
      <c r="AJ13" s="383"/>
      <c r="AK13" s="627"/>
      <c r="AL13" s="368"/>
      <c r="AM13" s="656"/>
      <c r="AN13" s="332"/>
      <c r="AO13" s="859" t="s">
        <v>431</v>
      </c>
      <c r="AP13" s="333" t="s">
        <v>442</v>
      </c>
      <c r="AQ13" s="333"/>
      <c r="AR13" s="333" t="s">
        <v>443</v>
      </c>
      <c r="AS13" s="346"/>
      <c r="AT13" s="336"/>
      <c r="AU13" s="337"/>
      <c r="AV13" s="337"/>
      <c r="AW13" s="337"/>
      <c r="AX13" s="335"/>
    </row>
    <row r="14" spans="1:50" x14ac:dyDescent="0.2">
      <c r="A14" s="296"/>
      <c r="B14" s="339">
        <f t="shared" ca="1" si="13"/>
        <v>0</v>
      </c>
      <c r="C14" s="249">
        <f t="shared" ca="1" si="14"/>
        <v>0</v>
      </c>
      <c r="D14" s="246">
        <f ca="1">IF(AND(OR($Z14="",INGVAN="",$Z14&lt;=INGVAN),OR($Z14="",INGTOT="",$Z14&lt;=INGTOT),OR($AA14="",INGVAN="",$AA14&gt;=INGVAN),OR($AA14="",INGTOT="",$AA14&gt;=INGTOT)),1,0)</f>
        <v>1</v>
      </c>
      <c r="E14" s="247">
        <f t="shared" ca="1" si="15"/>
        <v>0</v>
      </c>
      <c r="F14" s="247">
        <f t="shared" ca="1" si="16"/>
        <v>1</v>
      </c>
      <c r="G14" s="147">
        <f ca="1">IF(AND(SI&lt;&gt;17,OR(ParBAL1="4.4",ParBAL2="4.4")),1,0)</f>
        <v>0</v>
      </c>
      <c r="H14" s="147"/>
      <c r="I14" s="148"/>
      <c r="J14" s="147"/>
      <c r="K14" s="148"/>
      <c r="L14" s="147">
        <f ca="1">IF(OR(TBRAND1=3,AND(G14=1,N14=0)),1,0)</f>
        <v>0</v>
      </c>
      <c r="M14" s="248">
        <f t="shared" ref="M14" ca="1" si="23">IF(AND(ParBAL1&lt;&gt;"",ParBAL1=P14),1,0)</f>
        <v>0</v>
      </c>
      <c r="N14" s="147">
        <f ca="1">IF(TBRAND2=3,1,0)</f>
        <v>0</v>
      </c>
      <c r="O14" s="249">
        <f t="shared" ref="O14" ca="1" si="24">IF(AND(ParBAL2&lt;&gt;"",ParBAL2=P14),1,0)</f>
        <v>0</v>
      </c>
      <c r="P14" s="291" t="s">
        <v>39</v>
      </c>
      <c r="Q14" s="160" t="s">
        <v>267</v>
      </c>
      <c r="R14" s="149"/>
      <c r="S14" s="149"/>
      <c r="T14" s="149"/>
      <c r="U14" s="150"/>
      <c r="V14" s="150"/>
      <c r="W14" s="150"/>
      <c r="X14" s="150"/>
      <c r="Y14" s="151"/>
      <c r="Z14" s="143"/>
      <c r="AA14" s="144">
        <f>IWTBAL-1</f>
        <v>45291</v>
      </c>
      <c r="AB14" s="143"/>
      <c r="AC14" s="145">
        <v>45241</v>
      </c>
      <c r="AD14" s="146"/>
      <c r="AE14" s="698" t="s">
        <v>124</v>
      </c>
      <c r="AF14" s="152" t="s">
        <v>437</v>
      </c>
      <c r="AG14" s="147"/>
      <c r="AH14" s="636"/>
      <c r="AI14" s="645"/>
      <c r="AJ14" s="269"/>
      <c r="AK14" s="626"/>
      <c r="AL14" s="147"/>
      <c r="AM14" s="655"/>
      <c r="AN14" s="324"/>
      <c r="AO14" s="349" t="str">
        <f>AO$13</f>
        <v xml:space="preserve">Op grond van artikel 4.81 1e lid geldt een halfjaarlijkse periodieke meetverplichting. Op basis van het atikel 4.81 2e of 5e lid kan een afwijkende meetfrequentie van toepassing zijn. </v>
      </c>
      <c r="AP14" s="325" t="str">
        <f t="shared" ref="AP14:AR14" si="25">AP$13</f>
        <v>Een periodieke meting bestaat uit één deelmeting van ten minste 30 minuten en ten hoogste acht uur. De metingen worden uitgevoerd door een geaccrediteerd laboratorium volgens NEN-EN 1948-1, NEN-EN 1948-2 en NEN-EN 1948-3 (art. 4.78 en 4.84).</v>
      </c>
      <c r="AQ14" s="325"/>
      <c r="AR14" s="325" t="str">
        <f t="shared" si="25"/>
        <v>De installatie voldoet aan de gestelde emissie-eis als gevalideerde meetresultaten lager dan de emissie-eis zijn (art. 4.90). Een gevalideerde waarde is de waarde nadat de aangetoonde meetonzekerheid in mindering is gebracht.</v>
      </c>
      <c r="AS14" s="325"/>
      <c r="AT14" s="155"/>
      <c r="AU14" s="157"/>
      <c r="AV14" s="157"/>
      <c r="AW14" s="157"/>
      <c r="AX14" s="151"/>
    </row>
    <row r="15" spans="1:50" x14ac:dyDescent="0.2">
      <c r="A15" s="584"/>
      <c r="B15" s="585"/>
      <c r="C15" s="586"/>
      <c r="D15" s="587"/>
      <c r="E15" s="588"/>
      <c r="F15" s="588"/>
      <c r="G15" s="589"/>
      <c r="H15" s="589"/>
      <c r="I15" s="590"/>
      <c r="J15" s="589"/>
      <c r="K15" s="590"/>
      <c r="L15" s="589"/>
      <c r="M15" s="591"/>
      <c r="N15" s="589"/>
      <c r="O15" s="592"/>
      <c r="P15" s="593"/>
      <c r="Q15" s="594"/>
      <c r="R15" s="595"/>
      <c r="S15" s="595"/>
      <c r="T15" s="595"/>
      <c r="U15" s="596"/>
      <c r="V15" s="596"/>
      <c r="W15" s="596"/>
      <c r="X15" s="596"/>
      <c r="Y15" s="597"/>
      <c r="Z15" s="598"/>
      <c r="AA15" s="599"/>
      <c r="AB15" s="598"/>
      <c r="AC15" s="600"/>
      <c r="AD15" s="601"/>
      <c r="AE15" s="602"/>
      <c r="AF15" s="603"/>
      <c r="AG15" s="589"/>
      <c r="AH15" s="638"/>
      <c r="AI15" s="647"/>
      <c r="AJ15" s="604"/>
      <c r="AK15" s="628"/>
      <c r="AL15" s="589"/>
      <c r="AM15" s="657"/>
      <c r="AN15" s="605"/>
      <c r="AO15" s="858"/>
      <c r="AP15" s="606"/>
      <c r="AQ15" s="606"/>
      <c r="AR15" s="606"/>
      <c r="AS15" s="595"/>
      <c r="AT15" s="606"/>
      <c r="AU15" s="607"/>
      <c r="AV15" s="607"/>
      <c r="AW15" s="607"/>
      <c r="AX15" s="597"/>
    </row>
    <row r="16" spans="1:50" x14ac:dyDescent="0.2">
      <c r="A16" s="393" t="s">
        <v>294</v>
      </c>
      <c r="B16" s="394"/>
      <c r="C16" s="395"/>
      <c r="D16" s="396"/>
      <c r="E16" s="397"/>
      <c r="F16" s="397"/>
      <c r="G16" s="398"/>
      <c r="H16" s="398"/>
      <c r="I16" s="399"/>
      <c r="J16" s="398"/>
      <c r="K16" s="399"/>
      <c r="L16" s="398"/>
      <c r="M16" s="400"/>
      <c r="N16" s="398"/>
      <c r="O16" s="401"/>
      <c r="P16" s="402"/>
      <c r="Q16" s="403"/>
      <c r="R16" s="404"/>
      <c r="S16" s="404"/>
      <c r="T16" s="404"/>
      <c r="U16" s="405"/>
      <c r="V16" s="405"/>
      <c r="W16" s="405"/>
      <c r="X16" s="405"/>
      <c r="Y16" s="406"/>
      <c r="Z16" s="407"/>
      <c r="AA16" s="408"/>
      <c r="AB16" s="407"/>
      <c r="AC16" s="409"/>
      <c r="AD16" s="410"/>
      <c r="AE16" s="411"/>
      <c r="AF16" s="412"/>
      <c r="AG16" s="398"/>
      <c r="AH16" s="639"/>
      <c r="AI16" s="648"/>
      <c r="AJ16" s="413"/>
      <c r="AK16" s="629"/>
      <c r="AL16" s="398"/>
      <c r="AM16" s="658"/>
      <c r="AN16" s="332"/>
      <c r="AO16" s="859" t="s">
        <v>440</v>
      </c>
      <c r="AP16" s="333" t="s">
        <v>441</v>
      </c>
      <c r="AQ16" s="333"/>
      <c r="AR16" s="333" t="s">
        <v>444</v>
      </c>
      <c r="AS16" s="333"/>
      <c r="AT16" s="330"/>
      <c r="AU16" s="331"/>
      <c r="AV16" s="331"/>
      <c r="AW16" s="331"/>
      <c r="AX16" s="328"/>
    </row>
    <row r="17" spans="1:50" x14ac:dyDescent="0.2">
      <c r="A17" s="393"/>
      <c r="B17" s="339">
        <f t="shared" ref="B17" ca="1" si="26">IF(AND(SUM(D17:K17,L17:M17)=COUNT(D17:K17,L17:M17),COUNT(D17:K17,L17:M17)&gt;0),ROW(B17),0)</f>
        <v>0</v>
      </c>
      <c r="C17" s="249">
        <f t="shared" ref="C17" ca="1" si="27">IF(AND(SUM(D17:K17,N17:O17)=COUNT(D17:K17,N17:O17),COUNT(D17:K17,N17:O17)&gt;0),ROW(B17),0)</f>
        <v>0</v>
      </c>
      <c r="D17" s="246">
        <f t="shared" ref="D17" ca="1" si="28">IF(AND(OR($Z17="",INGVAN="",$Z17&lt;=INGVAN),OR($Z17="",INGTOT="",$Z17&lt;=INGTOT),OR($AA17="",INGVAN="",$AA17&gt;=INGVAN),OR($AA17="",INGTOT="",$AA17&gt;=INGTOT)),1,0)</f>
        <v>1</v>
      </c>
      <c r="E17" s="247">
        <f t="shared" ref="E17" ca="1" si="29">IF(AND(OR($AB17="",Tdatum&gt;=$AB17,AND(AB17&lt;&gt;"",ISNUMBER(FIND("j",LOWER(AD17))))),OR($AC17="",Tdatum&lt;=$AC17)),1,0)</f>
        <v>1</v>
      </c>
      <c r="F17" s="247">
        <f t="shared" ref="F17" ca="1" si="30">IF(AND(OR($S17="",MW&gt;=$S17),OR($T17="",$T17&gt;MW)),1,0)</f>
        <v>1</v>
      </c>
      <c r="G17" s="147"/>
      <c r="H17" s="147"/>
      <c r="I17" s="148"/>
      <c r="J17" s="147"/>
      <c r="K17" s="148"/>
      <c r="L17" s="147">
        <f ca="1">IF(BRAND1=19,1,0)</f>
        <v>0</v>
      </c>
      <c r="M17" s="248">
        <f t="shared" ref="M17" ca="1" si="31">IF(AND(ParBAL1&lt;&gt;"",ParBAL1=P17),1,0)</f>
        <v>0</v>
      </c>
      <c r="N17" s="147">
        <f ca="1">IF(BRAND2=19,1,0)</f>
        <v>0</v>
      </c>
      <c r="O17" s="249">
        <f t="shared" ref="O17" ca="1" si="32">IF(AND(ParBAL2&lt;&gt;"",ParBAL2=P17),1,0)</f>
        <v>0</v>
      </c>
      <c r="P17" s="279" t="s">
        <v>40</v>
      </c>
      <c r="Q17" s="149" t="s">
        <v>9</v>
      </c>
      <c r="R17" s="149" t="s">
        <v>170</v>
      </c>
      <c r="S17" s="149"/>
      <c r="T17" s="149"/>
      <c r="U17" s="150"/>
      <c r="V17" s="150"/>
      <c r="W17" s="150"/>
      <c r="X17" s="150"/>
      <c r="Y17" s="151"/>
      <c r="Z17" s="700"/>
      <c r="AA17" s="701"/>
      <c r="AB17" s="700"/>
      <c r="AC17" s="702"/>
      <c r="AD17" s="703"/>
      <c r="AE17" s="704" t="s">
        <v>409</v>
      </c>
      <c r="AF17" s="705" t="s">
        <v>490</v>
      </c>
      <c r="AG17" s="687"/>
      <c r="AH17" s="688" t="s">
        <v>1</v>
      </c>
      <c r="AI17" s="689"/>
      <c r="AJ17" s="690"/>
      <c r="AK17" s="691"/>
      <c r="AL17" s="687"/>
      <c r="AM17" s="692"/>
      <c r="AN17" s="324"/>
      <c r="AO17" s="349" t="str">
        <f>AO$16</f>
        <v>Op grond van artikel 4.41a geldt een halfjaarlijkse periodieke meetverplichting als de brandstof gechloreerde componenten bevat.</v>
      </c>
      <c r="AP17" s="325" t="str">
        <f>AP$16</f>
        <v>Een periodieke meting bestaat uit één deelmeting van ten minste 30 minuten en ten hoogste twee uur. De metingen worden uitgevoerd door een geaccrediteerd laboratorium volgens NEN-EN 1948-1, NEN-EN 1948-2 en NEN-EN 1948-3 (art. 4.48 en 4.84).</v>
      </c>
      <c r="AQ17" s="325"/>
      <c r="AR17" s="325" t="str">
        <f>AR$16</f>
        <v>De installatie voldoet aan de gestelde emissie-eis als gevalideerde meetresultaten lager dan de emissie-eis zijn (art. 4.44). Een gevalideerde waarde is de waarde nadat de aangetoonde meetonzekerheid in mindering is gebracht.</v>
      </c>
      <c r="AS17" s="694"/>
      <c r="AT17" s="155"/>
      <c r="AU17" s="157"/>
      <c r="AV17" s="157"/>
      <c r="AW17" s="157"/>
      <c r="AX17" s="151"/>
    </row>
    <row r="18" spans="1:50" x14ac:dyDescent="0.2">
      <c r="A18" s="295"/>
      <c r="B18" s="340"/>
      <c r="C18" s="341"/>
      <c r="D18" s="326"/>
      <c r="E18" s="46"/>
      <c r="F18" s="46"/>
      <c r="G18" s="147"/>
      <c r="H18" s="147"/>
      <c r="I18" s="148"/>
      <c r="J18" s="147"/>
      <c r="K18" s="148"/>
      <c r="L18" s="147"/>
      <c r="M18" s="56"/>
      <c r="N18" s="147"/>
      <c r="O18" s="59"/>
      <c r="P18" s="279"/>
      <c r="Q18" s="160"/>
      <c r="R18" s="149"/>
      <c r="S18" s="149"/>
      <c r="T18" s="149"/>
      <c r="U18" s="150"/>
      <c r="V18" s="150"/>
      <c r="W18" s="150"/>
      <c r="X18" s="150"/>
      <c r="Y18" s="151"/>
      <c r="Z18" s="143"/>
      <c r="AA18" s="144"/>
      <c r="AB18" s="143"/>
      <c r="AC18" s="145"/>
      <c r="AD18" s="146"/>
      <c r="AE18" s="276"/>
      <c r="AF18" s="152"/>
      <c r="AG18" s="147"/>
      <c r="AH18" s="636"/>
      <c r="AI18" s="645"/>
      <c r="AJ18" s="269"/>
      <c r="AK18" s="626"/>
      <c r="AL18" s="147"/>
      <c r="AM18" s="655"/>
      <c r="AN18" s="154"/>
      <c r="AO18" s="156"/>
      <c r="AP18" s="155"/>
      <c r="AQ18" s="155"/>
      <c r="AR18" s="155"/>
      <c r="AS18" s="149"/>
      <c r="AT18" s="155"/>
      <c r="AU18" s="157"/>
      <c r="AV18" s="157"/>
      <c r="AW18" s="157"/>
      <c r="AX18" s="151"/>
    </row>
    <row r="19" spans="1:50" x14ac:dyDescent="0.2">
      <c r="A19" s="363" t="s">
        <v>338</v>
      </c>
      <c r="B19" s="364"/>
      <c r="C19" s="365"/>
      <c r="D19" s="366"/>
      <c r="E19" s="367"/>
      <c r="F19" s="367"/>
      <c r="G19" s="368"/>
      <c r="H19" s="368"/>
      <c r="I19" s="369"/>
      <c r="J19" s="368"/>
      <c r="K19" s="369"/>
      <c r="L19" s="368"/>
      <c r="M19" s="370"/>
      <c r="N19" s="368"/>
      <c r="O19" s="371"/>
      <c r="P19" s="372"/>
      <c r="Q19" s="373"/>
      <c r="R19" s="374"/>
      <c r="S19" s="374"/>
      <c r="T19" s="374"/>
      <c r="U19" s="375"/>
      <c r="V19" s="375"/>
      <c r="W19" s="375"/>
      <c r="X19" s="375"/>
      <c r="Y19" s="376"/>
      <c r="Z19" s="377"/>
      <c r="AA19" s="378"/>
      <c r="AB19" s="377"/>
      <c r="AC19" s="379"/>
      <c r="AD19" s="380"/>
      <c r="AE19" s="381"/>
      <c r="AF19" s="382"/>
      <c r="AG19" s="368"/>
      <c r="AH19" s="637"/>
      <c r="AI19" s="646"/>
      <c r="AJ19" s="383"/>
      <c r="AK19" s="627"/>
      <c r="AL19" s="368"/>
      <c r="AM19" s="656"/>
      <c r="AN19" s="345"/>
      <c r="AO19" s="686"/>
      <c r="AP19" s="346"/>
      <c r="AQ19" s="346"/>
      <c r="AR19" s="346"/>
      <c r="AS19" s="346"/>
      <c r="AT19" s="336"/>
      <c r="AU19" s="337"/>
      <c r="AV19" s="337"/>
      <c r="AW19" s="337"/>
      <c r="AX19" s="335"/>
    </row>
    <row r="20" spans="1:50" x14ac:dyDescent="0.2">
      <c r="A20" s="584"/>
      <c r="B20" s="585"/>
      <c r="C20" s="586"/>
      <c r="D20" s="587"/>
      <c r="E20" s="588"/>
      <c r="F20" s="588"/>
      <c r="G20" s="589"/>
      <c r="H20" s="589"/>
      <c r="I20" s="590"/>
      <c r="J20" s="589"/>
      <c r="K20" s="590"/>
      <c r="L20" s="589"/>
      <c r="M20" s="591"/>
      <c r="N20" s="589"/>
      <c r="O20" s="592"/>
      <c r="P20" s="593"/>
      <c r="Q20" s="594"/>
      <c r="R20" s="595"/>
      <c r="S20" s="595"/>
      <c r="T20" s="595"/>
      <c r="U20" s="596"/>
      <c r="V20" s="596"/>
      <c r="W20" s="596"/>
      <c r="X20" s="596"/>
      <c r="Y20" s="597"/>
      <c r="Z20" s="598"/>
      <c r="AA20" s="599"/>
      <c r="AB20" s="598"/>
      <c r="AC20" s="600"/>
      <c r="AD20" s="601"/>
      <c r="AE20" s="602"/>
      <c r="AF20" s="603"/>
      <c r="AG20" s="589"/>
      <c r="AH20" s="638"/>
      <c r="AI20" s="647"/>
      <c r="AJ20" s="604"/>
      <c r="AK20" s="628"/>
      <c r="AL20" s="589"/>
      <c r="AM20" s="657"/>
      <c r="AN20" s="605"/>
      <c r="AO20" s="858"/>
      <c r="AP20" s="606"/>
      <c r="AQ20" s="606"/>
      <c r="AR20" s="606"/>
      <c r="AS20" s="595"/>
      <c r="AT20" s="606"/>
      <c r="AU20" s="607"/>
      <c r="AV20" s="607"/>
      <c r="AW20" s="607"/>
      <c r="AX20" s="597"/>
    </row>
    <row r="21" spans="1:50" x14ac:dyDescent="0.2">
      <c r="A21" s="393" t="s">
        <v>293</v>
      </c>
      <c r="B21" s="394"/>
      <c r="C21" s="395"/>
      <c r="D21" s="396"/>
      <c r="E21" s="397"/>
      <c r="F21" s="397"/>
      <c r="G21" s="398"/>
      <c r="H21" s="398"/>
      <c r="I21" s="399"/>
      <c r="J21" s="398"/>
      <c r="K21" s="399"/>
      <c r="L21" s="398"/>
      <c r="M21" s="400"/>
      <c r="N21" s="398"/>
      <c r="O21" s="401"/>
      <c r="P21" s="402"/>
      <c r="Q21" s="403"/>
      <c r="R21" s="404"/>
      <c r="S21" s="404"/>
      <c r="T21" s="404"/>
      <c r="U21" s="405"/>
      <c r="V21" s="405"/>
      <c r="W21" s="405"/>
      <c r="X21" s="405"/>
      <c r="Y21" s="406"/>
      <c r="Z21" s="407"/>
      <c r="AA21" s="408"/>
      <c r="AB21" s="407"/>
      <c r="AC21" s="409"/>
      <c r="AD21" s="410"/>
      <c r="AE21" s="411"/>
      <c r="AF21" s="412"/>
      <c r="AG21" s="398"/>
      <c r="AH21" s="639"/>
      <c r="AI21" s="648"/>
      <c r="AJ21" s="413"/>
      <c r="AK21" s="629"/>
      <c r="AL21" s="398"/>
      <c r="AM21" s="658"/>
      <c r="AN21" s="332"/>
      <c r="AO21" s="859"/>
      <c r="AP21" s="333"/>
      <c r="AQ21" s="333"/>
      <c r="AR21" s="333"/>
      <c r="AS21" s="327"/>
      <c r="AT21" s="330"/>
      <c r="AU21" s="331"/>
      <c r="AV21" s="331"/>
      <c r="AW21" s="331"/>
      <c r="AX21" s="328"/>
    </row>
    <row r="22" spans="1:50" x14ac:dyDescent="0.2">
      <c r="A22" s="295"/>
      <c r="B22" s="340"/>
      <c r="C22" s="341"/>
      <c r="D22" s="326"/>
      <c r="E22" s="46"/>
      <c r="F22" s="46"/>
      <c r="G22" s="147"/>
      <c r="H22" s="147"/>
      <c r="I22" s="148"/>
      <c r="J22" s="147"/>
      <c r="K22" s="148"/>
      <c r="L22" s="147"/>
      <c r="M22" s="56"/>
      <c r="N22" s="147"/>
      <c r="O22" s="59"/>
      <c r="P22" s="279"/>
      <c r="Q22" s="160"/>
      <c r="R22" s="149"/>
      <c r="S22" s="149"/>
      <c r="T22" s="149"/>
      <c r="U22" s="150"/>
      <c r="V22" s="150"/>
      <c r="W22" s="150"/>
      <c r="X22" s="150"/>
      <c r="Y22" s="151"/>
      <c r="Z22" s="143"/>
      <c r="AA22" s="144"/>
      <c r="AB22" s="143"/>
      <c r="AC22" s="145"/>
      <c r="AD22" s="146"/>
      <c r="AE22" s="276"/>
      <c r="AF22" s="152"/>
      <c r="AG22" s="147"/>
      <c r="AH22" s="636"/>
      <c r="AI22" s="645"/>
      <c r="AJ22" s="269"/>
      <c r="AK22" s="626"/>
      <c r="AL22" s="147"/>
      <c r="AM22" s="636"/>
      <c r="AN22" s="683"/>
      <c r="AO22" s="685"/>
      <c r="AP22" s="684"/>
      <c r="AQ22" s="684"/>
      <c r="AR22" s="684"/>
      <c r="AS22" s="149"/>
      <c r="AT22" s="155"/>
      <c r="AU22" s="157"/>
      <c r="AV22" s="157"/>
      <c r="AW22" s="157"/>
      <c r="AX22" s="151"/>
    </row>
    <row r="23" spans="1:50" x14ac:dyDescent="0.2">
      <c r="A23" s="363" t="s">
        <v>339</v>
      </c>
      <c r="B23" s="364"/>
      <c r="C23" s="365"/>
      <c r="D23" s="366"/>
      <c r="E23" s="367"/>
      <c r="F23" s="367"/>
      <c r="G23" s="368"/>
      <c r="H23" s="368"/>
      <c r="I23" s="369"/>
      <c r="J23" s="368"/>
      <c r="K23" s="369"/>
      <c r="L23" s="368"/>
      <c r="M23" s="370"/>
      <c r="N23" s="368"/>
      <c r="O23" s="371"/>
      <c r="P23" s="372"/>
      <c r="Q23" s="373"/>
      <c r="R23" s="374"/>
      <c r="S23" s="374"/>
      <c r="T23" s="374"/>
      <c r="U23" s="375"/>
      <c r="V23" s="375"/>
      <c r="W23" s="375"/>
      <c r="X23" s="375"/>
      <c r="Y23" s="376"/>
      <c r="Z23" s="377"/>
      <c r="AA23" s="378"/>
      <c r="AB23" s="377"/>
      <c r="AC23" s="379"/>
      <c r="AD23" s="380"/>
      <c r="AE23" s="381"/>
      <c r="AF23" s="382"/>
      <c r="AG23" s="368"/>
      <c r="AH23" s="637"/>
      <c r="AI23" s="646"/>
      <c r="AJ23" s="383"/>
      <c r="AK23" s="627"/>
      <c r="AL23" s="368"/>
      <c r="AM23" s="637"/>
      <c r="AN23" s="345"/>
      <c r="AO23" s="686"/>
      <c r="AP23" s="346"/>
      <c r="AQ23" s="346"/>
      <c r="AR23" s="346"/>
      <c r="AS23" s="346"/>
      <c r="AT23" s="336"/>
      <c r="AU23" s="337"/>
      <c r="AV23" s="337"/>
      <c r="AW23" s="337"/>
      <c r="AX23" s="335"/>
    </row>
    <row r="24" spans="1:50" x14ac:dyDescent="0.2">
      <c r="A24" s="584"/>
      <c r="B24" s="585"/>
      <c r="C24" s="586"/>
      <c r="D24" s="587"/>
      <c r="E24" s="588"/>
      <c r="F24" s="588"/>
      <c r="G24" s="589"/>
      <c r="H24" s="589"/>
      <c r="I24" s="590"/>
      <c r="J24" s="589"/>
      <c r="K24" s="590"/>
      <c r="L24" s="589"/>
      <c r="M24" s="591"/>
      <c r="N24" s="589"/>
      <c r="O24" s="592"/>
      <c r="P24" s="593"/>
      <c r="Q24" s="594"/>
      <c r="R24" s="595"/>
      <c r="S24" s="595"/>
      <c r="T24" s="595"/>
      <c r="U24" s="596"/>
      <c r="V24" s="596"/>
      <c r="W24" s="596"/>
      <c r="X24" s="596"/>
      <c r="Y24" s="597"/>
      <c r="Z24" s="598"/>
      <c r="AA24" s="599"/>
      <c r="AB24" s="598"/>
      <c r="AC24" s="600"/>
      <c r="AD24" s="601"/>
      <c r="AE24" s="602"/>
      <c r="AF24" s="603"/>
      <c r="AG24" s="589"/>
      <c r="AH24" s="638"/>
      <c r="AI24" s="647"/>
      <c r="AJ24" s="604"/>
      <c r="AK24" s="628"/>
      <c r="AL24" s="589"/>
      <c r="AM24" s="657"/>
      <c r="AN24" s="605"/>
      <c r="AO24" s="858"/>
      <c r="AP24" s="606"/>
      <c r="AQ24" s="606"/>
      <c r="AR24" s="606"/>
      <c r="AS24" s="595"/>
      <c r="AT24" s="606"/>
      <c r="AU24" s="607"/>
      <c r="AV24" s="607"/>
      <c r="AW24" s="607"/>
      <c r="AX24" s="597"/>
    </row>
    <row r="25" spans="1:50" x14ac:dyDescent="0.2">
      <c r="A25" s="393" t="s">
        <v>292</v>
      </c>
      <c r="B25" s="394"/>
      <c r="C25" s="395"/>
      <c r="D25" s="396"/>
      <c r="E25" s="397"/>
      <c r="F25" s="397"/>
      <c r="G25" s="398"/>
      <c r="H25" s="398"/>
      <c r="I25" s="399"/>
      <c r="J25" s="398"/>
      <c r="K25" s="399"/>
      <c r="L25" s="398"/>
      <c r="M25" s="400"/>
      <c r="N25" s="398"/>
      <c r="O25" s="401"/>
      <c r="P25" s="402"/>
      <c r="Q25" s="403"/>
      <c r="R25" s="404"/>
      <c r="S25" s="404"/>
      <c r="T25" s="404"/>
      <c r="U25" s="405"/>
      <c r="V25" s="405"/>
      <c r="W25" s="405"/>
      <c r="X25" s="405"/>
      <c r="Y25" s="406"/>
      <c r="Z25" s="407"/>
      <c r="AA25" s="408"/>
      <c r="AB25" s="407"/>
      <c r="AC25" s="409"/>
      <c r="AD25" s="410"/>
      <c r="AE25" s="411"/>
      <c r="AF25" s="412"/>
      <c r="AG25" s="398"/>
      <c r="AH25" s="639"/>
      <c r="AI25" s="648"/>
      <c r="AJ25" s="413"/>
      <c r="AK25" s="629"/>
      <c r="AL25" s="398"/>
      <c r="AM25" s="658"/>
      <c r="AN25" s="332"/>
      <c r="AO25" s="859"/>
      <c r="AP25" s="333"/>
      <c r="AQ25" s="333"/>
      <c r="AR25" s="333"/>
      <c r="AS25" s="327"/>
      <c r="AT25" s="330"/>
      <c r="AU25" s="331"/>
      <c r="AV25" s="331"/>
      <c r="AW25" s="331"/>
      <c r="AX25" s="328"/>
    </row>
    <row r="26" spans="1:50" x14ac:dyDescent="0.2">
      <c r="A26" s="295"/>
      <c r="B26" s="340"/>
      <c r="C26" s="341"/>
      <c r="D26" s="326"/>
      <c r="E26" s="46"/>
      <c r="F26" s="46"/>
      <c r="G26" s="147"/>
      <c r="H26" s="147"/>
      <c r="I26" s="148"/>
      <c r="J26" s="147"/>
      <c r="K26" s="148"/>
      <c r="L26" s="147"/>
      <c r="M26" s="56"/>
      <c r="N26" s="147"/>
      <c r="O26" s="59"/>
      <c r="P26" s="279"/>
      <c r="Q26" s="160"/>
      <c r="R26" s="149"/>
      <c r="S26" s="149"/>
      <c r="T26" s="149"/>
      <c r="U26" s="150"/>
      <c r="V26" s="150"/>
      <c r="W26" s="150"/>
      <c r="X26" s="150"/>
      <c r="Y26" s="151"/>
      <c r="Z26" s="143"/>
      <c r="AA26" s="144"/>
      <c r="AB26" s="143"/>
      <c r="AC26" s="145"/>
      <c r="AD26" s="146"/>
      <c r="AE26" s="276"/>
      <c r="AF26" s="152"/>
      <c r="AG26" s="147"/>
      <c r="AH26" s="636"/>
      <c r="AI26" s="645"/>
      <c r="AJ26" s="269"/>
      <c r="AK26" s="626"/>
      <c r="AL26" s="147"/>
      <c r="AM26" s="655"/>
      <c r="AN26" s="154"/>
      <c r="AO26" s="156"/>
      <c r="AP26" s="155"/>
      <c r="AQ26" s="155"/>
      <c r="AR26" s="155"/>
      <c r="AS26" s="149"/>
      <c r="AT26" s="155"/>
      <c r="AU26" s="157"/>
      <c r="AV26" s="157"/>
      <c r="AW26" s="157"/>
      <c r="AX26" s="151"/>
    </row>
    <row r="27" spans="1:50" x14ac:dyDescent="0.2">
      <c r="A27" s="363" t="s">
        <v>340</v>
      </c>
      <c r="B27" s="364"/>
      <c r="C27" s="365"/>
      <c r="D27" s="366"/>
      <c r="E27" s="367"/>
      <c r="F27" s="367"/>
      <c r="G27" s="368"/>
      <c r="H27" s="368"/>
      <c r="I27" s="369"/>
      <c r="J27" s="368"/>
      <c r="K27" s="369"/>
      <c r="L27" s="368"/>
      <c r="M27" s="370"/>
      <c r="N27" s="368"/>
      <c r="O27" s="371"/>
      <c r="P27" s="372"/>
      <c r="Q27" s="373"/>
      <c r="R27" s="374"/>
      <c r="S27" s="374"/>
      <c r="T27" s="374"/>
      <c r="U27" s="375"/>
      <c r="V27" s="375"/>
      <c r="W27" s="375"/>
      <c r="X27" s="375"/>
      <c r="Y27" s="376"/>
      <c r="Z27" s="377"/>
      <c r="AA27" s="378"/>
      <c r="AB27" s="377"/>
      <c r="AC27" s="379"/>
      <c r="AD27" s="380"/>
      <c r="AE27" s="381"/>
      <c r="AF27" s="382"/>
      <c r="AG27" s="368"/>
      <c r="AH27" s="637"/>
      <c r="AI27" s="646"/>
      <c r="AJ27" s="383"/>
      <c r="AK27" s="627"/>
      <c r="AL27" s="368"/>
      <c r="AM27" s="656"/>
      <c r="AN27" s="345"/>
      <c r="AO27" s="686"/>
      <c r="AP27" s="346"/>
      <c r="AQ27" s="346"/>
      <c r="AR27" s="346"/>
      <c r="AS27" s="346"/>
      <c r="AT27" s="336"/>
      <c r="AU27" s="337"/>
      <c r="AV27" s="337"/>
      <c r="AW27" s="337"/>
      <c r="AX27" s="335"/>
    </row>
    <row r="28" spans="1:50" x14ac:dyDescent="0.2">
      <c r="A28" s="584"/>
      <c r="B28" s="585"/>
      <c r="C28" s="586"/>
      <c r="D28" s="587"/>
      <c r="E28" s="588"/>
      <c r="F28" s="588"/>
      <c r="G28" s="589"/>
      <c r="H28" s="589"/>
      <c r="I28" s="590"/>
      <c r="J28" s="589"/>
      <c r="K28" s="590"/>
      <c r="L28" s="589"/>
      <c r="M28" s="591"/>
      <c r="N28" s="589"/>
      <c r="O28" s="592"/>
      <c r="P28" s="593"/>
      <c r="Q28" s="594"/>
      <c r="R28" s="595"/>
      <c r="S28" s="595"/>
      <c r="T28" s="595"/>
      <c r="U28" s="596"/>
      <c r="V28" s="596"/>
      <c r="W28" s="596"/>
      <c r="X28" s="596"/>
      <c r="Y28" s="597"/>
      <c r="Z28" s="598"/>
      <c r="AA28" s="599"/>
      <c r="AB28" s="598"/>
      <c r="AC28" s="600"/>
      <c r="AD28" s="601"/>
      <c r="AE28" s="602"/>
      <c r="AF28" s="603"/>
      <c r="AG28" s="589"/>
      <c r="AH28" s="638"/>
      <c r="AI28" s="647"/>
      <c r="AJ28" s="604"/>
      <c r="AK28" s="628"/>
      <c r="AL28" s="589"/>
      <c r="AM28" s="657"/>
      <c r="AN28" s="605"/>
      <c r="AO28" s="858"/>
      <c r="AP28" s="606"/>
      <c r="AQ28" s="606"/>
      <c r="AR28" s="606"/>
      <c r="AS28" s="595"/>
      <c r="AT28" s="606"/>
      <c r="AU28" s="607"/>
      <c r="AV28" s="607"/>
      <c r="AW28" s="607"/>
      <c r="AX28" s="597"/>
    </row>
    <row r="29" spans="1:50" x14ac:dyDescent="0.2">
      <c r="A29" s="393" t="s">
        <v>291</v>
      </c>
      <c r="B29" s="394"/>
      <c r="C29" s="395"/>
      <c r="D29" s="396"/>
      <c r="E29" s="397"/>
      <c r="F29" s="397"/>
      <c r="G29" s="398"/>
      <c r="H29" s="398"/>
      <c r="I29" s="399"/>
      <c r="J29" s="398"/>
      <c r="K29" s="399"/>
      <c r="L29" s="398"/>
      <c r="M29" s="400"/>
      <c r="N29" s="398"/>
      <c r="O29" s="401"/>
      <c r="P29" s="402"/>
      <c r="Q29" s="403"/>
      <c r="R29" s="404"/>
      <c r="S29" s="404"/>
      <c r="T29" s="404"/>
      <c r="U29" s="405"/>
      <c r="V29" s="405"/>
      <c r="W29" s="405"/>
      <c r="X29" s="405"/>
      <c r="Y29" s="406"/>
      <c r="Z29" s="407"/>
      <c r="AA29" s="408"/>
      <c r="AB29" s="407"/>
      <c r="AC29" s="409"/>
      <c r="AD29" s="410"/>
      <c r="AE29" s="411"/>
      <c r="AF29" s="412"/>
      <c r="AG29" s="398"/>
      <c r="AH29" s="639"/>
      <c r="AI29" s="648"/>
      <c r="AJ29" s="413"/>
      <c r="AK29" s="629"/>
      <c r="AL29" s="398"/>
      <c r="AM29" s="658"/>
      <c r="AN29" s="332"/>
      <c r="AO29" s="859"/>
      <c r="AP29" s="333"/>
      <c r="AQ29" s="333"/>
      <c r="AR29" s="333"/>
      <c r="AS29" s="327"/>
      <c r="AT29" s="330"/>
      <c r="AU29" s="331"/>
      <c r="AV29" s="331"/>
      <c r="AW29" s="331"/>
      <c r="AX29" s="328"/>
    </row>
    <row r="30" spans="1:50" x14ac:dyDescent="0.2">
      <c r="A30" s="295"/>
      <c r="B30" s="340"/>
      <c r="C30" s="341"/>
      <c r="D30" s="326"/>
      <c r="E30" s="46"/>
      <c r="F30" s="46"/>
      <c r="G30" s="147"/>
      <c r="H30" s="147"/>
      <c r="I30" s="148"/>
      <c r="J30" s="147"/>
      <c r="K30" s="148"/>
      <c r="L30" s="147"/>
      <c r="M30" s="56"/>
      <c r="N30" s="147"/>
      <c r="O30" s="59"/>
      <c r="P30" s="279"/>
      <c r="Q30" s="160"/>
      <c r="R30" s="149"/>
      <c r="S30" s="149"/>
      <c r="T30" s="149"/>
      <c r="U30" s="150"/>
      <c r="V30" s="150"/>
      <c r="W30" s="150"/>
      <c r="X30" s="150"/>
      <c r="Y30" s="151"/>
      <c r="Z30" s="143"/>
      <c r="AA30" s="144"/>
      <c r="AB30" s="143"/>
      <c r="AC30" s="145"/>
      <c r="AD30" s="146"/>
      <c r="AE30" s="276"/>
      <c r="AF30" s="152"/>
      <c r="AG30" s="147"/>
      <c r="AH30" s="636"/>
      <c r="AI30" s="645"/>
      <c r="AJ30" s="269"/>
      <c r="AK30" s="626"/>
      <c r="AL30" s="147"/>
      <c r="AM30" s="655"/>
      <c r="AN30" s="154"/>
      <c r="AO30" s="156"/>
      <c r="AP30" s="155"/>
      <c r="AQ30" s="155"/>
      <c r="AR30" s="155"/>
      <c r="AS30" s="149"/>
      <c r="AT30" s="155"/>
      <c r="AU30" s="157"/>
      <c r="AV30" s="157"/>
      <c r="AW30" s="157"/>
      <c r="AX30" s="151"/>
    </row>
    <row r="31" spans="1:50" x14ac:dyDescent="0.2">
      <c r="A31" s="363" t="s">
        <v>341</v>
      </c>
      <c r="B31" s="364"/>
      <c r="C31" s="365"/>
      <c r="D31" s="366"/>
      <c r="E31" s="367"/>
      <c r="F31" s="367"/>
      <c r="G31" s="368"/>
      <c r="H31" s="368"/>
      <c r="I31" s="369"/>
      <c r="J31" s="368"/>
      <c r="K31" s="369"/>
      <c r="L31" s="368"/>
      <c r="M31" s="370"/>
      <c r="N31" s="368"/>
      <c r="O31" s="371"/>
      <c r="P31" s="372"/>
      <c r="Q31" s="373"/>
      <c r="R31" s="374"/>
      <c r="S31" s="374"/>
      <c r="T31" s="374"/>
      <c r="U31" s="375"/>
      <c r="V31" s="375"/>
      <c r="W31" s="375"/>
      <c r="X31" s="375"/>
      <c r="Y31" s="376"/>
      <c r="Z31" s="377"/>
      <c r="AA31" s="378"/>
      <c r="AB31" s="377"/>
      <c r="AC31" s="379"/>
      <c r="AD31" s="380"/>
      <c r="AE31" s="381"/>
      <c r="AF31" s="382"/>
      <c r="AG31" s="368"/>
      <c r="AH31" s="637"/>
      <c r="AI31" s="646"/>
      <c r="AJ31" s="383"/>
      <c r="AK31" s="627"/>
      <c r="AL31" s="368"/>
      <c r="AM31" s="656"/>
      <c r="AN31" s="345"/>
      <c r="AO31" s="686"/>
      <c r="AP31" s="346"/>
      <c r="AQ31" s="346"/>
      <c r="AR31" s="346"/>
      <c r="AS31" s="346"/>
      <c r="AT31" s="336"/>
      <c r="AU31" s="337"/>
      <c r="AV31" s="337"/>
      <c r="AW31" s="337"/>
      <c r="AX31" s="335"/>
    </row>
    <row r="32" spans="1:50" x14ac:dyDescent="0.2">
      <c r="A32" s="584"/>
      <c r="B32" s="585"/>
      <c r="C32" s="586"/>
      <c r="D32" s="608"/>
      <c r="E32" s="589"/>
      <c r="F32" s="589"/>
      <c r="G32" s="589"/>
      <c r="H32" s="589"/>
      <c r="I32" s="590"/>
      <c r="J32" s="589"/>
      <c r="K32" s="590"/>
      <c r="L32" s="589"/>
      <c r="M32" s="590"/>
      <c r="N32" s="590"/>
      <c r="O32" s="590"/>
      <c r="P32" s="593"/>
      <c r="Q32" s="595"/>
      <c r="R32" s="595"/>
      <c r="S32" s="595"/>
      <c r="T32" s="595"/>
      <c r="U32" s="596"/>
      <c r="V32" s="596"/>
      <c r="W32" s="596"/>
      <c r="X32" s="596"/>
      <c r="Y32" s="597"/>
      <c r="Z32" s="598"/>
      <c r="AA32" s="599"/>
      <c r="AB32" s="598"/>
      <c r="AC32" s="600"/>
      <c r="AD32" s="601"/>
      <c r="AE32" s="602"/>
      <c r="AF32" s="603"/>
      <c r="AG32" s="589"/>
      <c r="AH32" s="638"/>
      <c r="AI32" s="647"/>
      <c r="AJ32" s="604"/>
      <c r="AK32" s="628"/>
      <c r="AL32" s="589"/>
      <c r="AM32" s="657"/>
      <c r="AN32" s="609"/>
      <c r="AO32" s="861"/>
      <c r="AP32" s="595"/>
      <c r="AQ32" s="595"/>
      <c r="AR32" s="595"/>
      <c r="AS32" s="595"/>
      <c r="AT32" s="595"/>
      <c r="AU32" s="596"/>
      <c r="AV32" s="596"/>
      <c r="AW32" s="596"/>
      <c r="AX32" s="597"/>
    </row>
    <row r="33" spans="1:50" x14ac:dyDescent="0.2">
      <c r="A33" s="393" t="s">
        <v>290</v>
      </c>
      <c r="B33" s="394"/>
      <c r="C33" s="395"/>
      <c r="D33" s="396"/>
      <c r="E33" s="397"/>
      <c r="F33" s="397"/>
      <c r="G33" s="398"/>
      <c r="H33" s="398"/>
      <c r="I33" s="399"/>
      <c r="J33" s="398"/>
      <c r="K33" s="399"/>
      <c r="L33" s="398"/>
      <c r="M33" s="400"/>
      <c r="N33" s="398"/>
      <c r="O33" s="401"/>
      <c r="P33" s="402"/>
      <c r="Q33" s="403"/>
      <c r="R33" s="404"/>
      <c r="S33" s="404"/>
      <c r="T33" s="404"/>
      <c r="U33" s="405"/>
      <c r="V33" s="405"/>
      <c r="W33" s="405"/>
      <c r="X33" s="405"/>
      <c r="Y33" s="406"/>
      <c r="Z33" s="407"/>
      <c r="AA33" s="408"/>
      <c r="AB33" s="407"/>
      <c r="AC33" s="409"/>
      <c r="AD33" s="410"/>
      <c r="AE33" s="411"/>
      <c r="AF33" s="412"/>
      <c r="AG33" s="398"/>
      <c r="AH33" s="639"/>
      <c r="AI33" s="648"/>
      <c r="AJ33" s="413"/>
      <c r="AK33" s="629"/>
      <c r="AL33" s="398"/>
      <c r="AM33" s="658"/>
      <c r="AN33" s="329"/>
      <c r="AO33" s="862"/>
      <c r="AP33" s="330"/>
      <c r="AQ33" s="330"/>
      <c r="AR33" s="330"/>
      <c r="AS33" s="327"/>
      <c r="AT33" s="330"/>
      <c r="AU33" s="331"/>
      <c r="AV33" s="331"/>
      <c r="AW33" s="331"/>
      <c r="AX33" s="328"/>
    </row>
    <row r="34" spans="1:50" x14ac:dyDescent="0.2">
      <c r="A34" s="334"/>
      <c r="B34" s="340"/>
      <c r="C34" s="341"/>
      <c r="D34" s="338"/>
      <c r="E34" s="46"/>
      <c r="F34" s="46"/>
      <c r="G34" s="147"/>
      <c r="H34" s="147"/>
      <c r="I34" s="148"/>
      <c r="J34" s="147"/>
      <c r="K34" s="148"/>
      <c r="L34" s="147"/>
      <c r="M34" s="56"/>
      <c r="N34" s="148"/>
      <c r="O34" s="56"/>
      <c r="P34" s="279"/>
      <c r="Q34" s="160"/>
      <c r="R34" s="149"/>
      <c r="S34" s="149"/>
      <c r="T34" s="149"/>
      <c r="U34" s="150"/>
      <c r="V34" s="150"/>
      <c r="W34" s="150"/>
      <c r="X34" s="150"/>
      <c r="Y34" s="151"/>
      <c r="Z34" s="143"/>
      <c r="AA34" s="144"/>
      <c r="AB34" s="143"/>
      <c r="AC34" s="145"/>
      <c r="AD34" s="146"/>
      <c r="AE34" s="276"/>
      <c r="AF34" s="152"/>
      <c r="AG34" s="147"/>
      <c r="AH34" s="636"/>
      <c r="AI34" s="645"/>
      <c r="AJ34" s="269"/>
      <c r="AK34" s="626"/>
      <c r="AL34" s="147"/>
      <c r="AM34" s="655"/>
      <c r="AN34" s="154"/>
      <c r="AO34" s="156"/>
      <c r="AP34" s="155"/>
      <c r="AQ34" s="155"/>
      <c r="AR34" s="155"/>
      <c r="AS34" s="149"/>
      <c r="AT34" s="155"/>
      <c r="AU34" s="157"/>
      <c r="AV34" s="157"/>
      <c r="AW34" s="157"/>
      <c r="AX34" s="151"/>
    </row>
    <row r="35" spans="1:50" ht="12" thickBot="1" x14ac:dyDescent="0.25">
      <c r="A35" s="297"/>
      <c r="B35" s="343"/>
      <c r="C35" s="344"/>
      <c r="D35" s="161"/>
      <c r="E35" s="161"/>
      <c r="F35" s="161"/>
      <c r="G35" s="161"/>
      <c r="H35" s="161"/>
      <c r="I35" s="162"/>
      <c r="J35" s="161"/>
      <c r="K35" s="162"/>
      <c r="L35" s="161"/>
      <c r="M35" s="162"/>
      <c r="N35" s="162"/>
      <c r="O35" s="162"/>
      <c r="P35" s="280"/>
      <c r="Q35" s="163"/>
      <c r="R35" s="163"/>
      <c r="S35" s="163"/>
      <c r="T35" s="163"/>
      <c r="U35" s="164"/>
      <c r="V35" s="164"/>
      <c r="W35" s="164"/>
      <c r="X35" s="164"/>
      <c r="Y35" s="165"/>
      <c r="Z35" s="166"/>
      <c r="AA35" s="167"/>
      <c r="AB35" s="166"/>
      <c r="AC35" s="168"/>
      <c r="AD35" s="169"/>
      <c r="AE35" s="278"/>
      <c r="AF35" s="171"/>
      <c r="AG35" s="161"/>
      <c r="AH35" s="640"/>
      <c r="AI35" s="649"/>
      <c r="AJ35" s="270"/>
      <c r="AK35" s="632"/>
      <c r="AL35" s="161"/>
      <c r="AM35" s="659"/>
      <c r="AN35" s="170"/>
      <c r="AO35" s="863"/>
      <c r="AP35" s="163"/>
      <c r="AQ35" s="163"/>
      <c r="AR35" s="163"/>
      <c r="AS35" s="163"/>
      <c r="AT35" s="163"/>
      <c r="AU35" s="164"/>
      <c r="AV35" s="164"/>
      <c r="AW35" s="164"/>
      <c r="AX35"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30"/>
  <sheetViews>
    <sheetView workbookViewId="0">
      <pane xSplit="20" ySplit="6" topLeftCell="W7" activePane="bottomRight" state="frozen"/>
      <selection pane="topRight" activeCell="U1" sqref="U1"/>
      <selection pane="bottomLeft" activeCell="A7" sqref="A7"/>
      <selection pane="bottomRight" activeCell="R21" sqref="R21"/>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5" width="7.125" style="3" customWidth="1"/>
    <col min="36" max="36" width="7.7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Formaldehyde</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IF($B$5=0,"",IF(INDEX(AK$1:AK$30,$B$5)="","",IF(AND(OR($AI5="",INGVAN="",$AI5&lt;=INGVAN),OR($AI5="",INGTOT="",$AI5&lt;=INGTOT)),1,0)))</f>
        <v/>
      </c>
      <c r="AL1" s="184" t="str">
        <f ca="1">IF($B$5=0,"",IF(INDEX(AK$1:AK$30,$B$5)="","",IF(AND(OR($AJ5="",INGVAN="",$AJ5&gt;=INGVAN),OR($AJ5="",INGTOT="",$AJ5&gt;=INGTOT)),1,0)))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126</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Formaldehyde</v>
      </c>
      <c r="AG3" s="129" t="s">
        <v>165</v>
      </c>
      <c r="AH3" s="633" t="s">
        <v>356</v>
      </c>
      <c r="AI3" s="642" t="s">
        <v>358</v>
      </c>
      <c r="AJ3" s="282" t="s">
        <v>359</v>
      </c>
      <c r="AK3" s="624" t="s">
        <v>251</v>
      </c>
      <c r="AL3" s="130" t="s">
        <v>183</v>
      </c>
      <c r="AM3" s="652" t="s">
        <v>209</v>
      </c>
      <c r="AN3" s="530" t="s">
        <v>534</v>
      </c>
      <c r="AO3" s="853"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IF(AND(AF5="",AF6=""),"",CONCATENATE(ROUND((100-IF(AF6="",0,ABRAND2))/100*IF(AF5="",0,AF5*(21-AG4)/(21-AG5))+IF(AF5="",100,ABRAND2)/100*IF(AF6="",0,AF6*(21-AG4)/(21-AG6)),0)," ",IF(A2="","",A2)," bij ",AG4," vol% O₂"))</f>
        <v/>
      </c>
      <c r="AG4" s="208" t="str">
        <f ca="1">IF(AG5="",AG6,AG5)</f>
        <v/>
      </c>
      <c r="AH4" s="634" t="str">
        <f ca="1">IF($C$6=0,AH5,IF($B$5=0,AH6,IF($B$5&lt;$C$6,AH5,AH6)))</f>
        <v/>
      </c>
      <c r="AI4" s="643"/>
      <c r="AJ4" s="208"/>
      <c r="AK4" s="696"/>
      <c r="AL4" s="208"/>
      <c r="AM4" s="653" t="str">
        <f ca="1">IF($C$6=0,AM5,IF($B$5=0,AM6,IF($B$5&lt;$C$6,AM5,AM6)))</f>
        <v/>
      </c>
      <c r="AN4" s="209"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54" t="str">
        <f t="shared" ref="AO4:AS4" ca="1" si="7">IF($C$6=0,AO5,IF($B$5=0,AO6,IF($B$5&lt;$C$6,AO5,AO6)))</f>
        <v/>
      </c>
      <c r="AP4" s="210" t="str">
        <f t="shared" ca="1" si="7"/>
        <v/>
      </c>
      <c r="AQ4" s="210" t="str">
        <f t="shared" ca="1" si="7"/>
        <v/>
      </c>
      <c r="AR4" s="211" t="str">
        <f t="shared" ca="1" si="7"/>
        <v/>
      </c>
      <c r="AS4" s="210" t="str">
        <f t="shared" ca="1" si="7"/>
        <v/>
      </c>
      <c r="AT4" s="210" t="str">
        <f t="shared" ref="AT4" ca="1" si="8">IF($C$6=0,AT5,IF($B$5=0,AT6,IF($B$5&lt;$C$6,AT5,AT6)))</f>
        <v/>
      </c>
      <c r="AU4" s="212"/>
      <c r="AV4" s="212"/>
      <c r="AW4" s="212"/>
      <c r="AX4" s="213" t="str">
        <f ca="1">AW2</f>
        <v/>
      </c>
    </row>
    <row r="5" spans="1:50" x14ac:dyDescent="0.2">
      <c r="A5" s="181" t="s">
        <v>29</v>
      </c>
      <c r="B5" s="192">
        <f ca="1">IF(Geldig,MAX(B8:B30),0)</f>
        <v>0</v>
      </c>
      <c r="C5" s="195"/>
      <c r="D5" s="192" t="str">
        <f t="shared" ref="D5:AF5" ca="1" si="9">IF($B$5=0,"",IF(INDEX(D$1:D$30,$B$5)="","",INDEX(D$1:D$30,$B$5)))</f>
        <v/>
      </c>
      <c r="E5" s="193" t="str">
        <f t="shared" ca="1" si="9"/>
        <v/>
      </c>
      <c r="F5" s="193" t="str">
        <f t="shared" ca="1" si="9"/>
        <v/>
      </c>
      <c r="G5" s="193" t="str">
        <f t="shared" ca="1" si="9"/>
        <v/>
      </c>
      <c r="H5" s="193" t="str">
        <f t="shared" ca="1" si="9"/>
        <v/>
      </c>
      <c r="I5" s="194" t="str">
        <f t="shared" ca="1" si="9"/>
        <v/>
      </c>
      <c r="J5" s="193" t="str">
        <f t="shared" ca="1" si="9"/>
        <v/>
      </c>
      <c r="K5" s="194" t="str">
        <f t="shared" ca="1" si="9"/>
        <v/>
      </c>
      <c r="L5" s="193" t="str">
        <f t="shared" ca="1" si="9"/>
        <v/>
      </c>
      <c r="M5" s="194" t="str">
        <f t="shared" ca="1" si="9"/>
        <v/>
      </c>
      <c r="N5" s="194" t="str">
        <f t="shared" ca="1" si="9"/>
        <v/>
      </c>
      <c r="O5" s="195" t="str">
        <f t="shared" ca="1" si="9"/>
        <v/>
      </c>
      <c r="P5" s="187" t="str">
        <f t="shared" ca="1" si="9"/>
        <v/>
      </c>
      <c r="Q5" s="214" t="str">
        <f t="shared" ca="1" si="9"/>
        <v/>
      </c>
      <c r="R5" s="214" t="str">
        <f t="shared" ca="1" si="9"/>
        <v/>
      </c>
      <c r="S5" s="214" t="str">
        <f t="shared" ca="1" si="9"/>
        <v/>
      </c>
      <c r="T5" s="214" t="str">
        <f t="shared" ca="1" si="9"/>
        <v/>
      </c>
      <c r="U5" s="214" t="str">
        <f t="shared" ca="1" si="9"/>
        <v/>
      </c>
      <c r="V5" s="215" t="str">
        <f t="shared" ca="1" si="9"/>
        <v/>
      </c>
      <c r="W5" s="215" t="str">
        <f t="shared" ca="1" si="9"/>
        <v/>
      </c>
      <c r="X5" s="215" t="str">
        <f t="shared" ca="1" si="9"/>
        <v/>
      </c>
      <c r="Y5" s="216" t="str">
        <f t="shared" ca="1" si="9"/>
        <v/>
      </c>
      <c r="Z5" s="217" t="str">
        <f t="shared" ca="1" si="9"/>
        <v/>
      </c>
      <c r="AA5" s="218" t="str">
        <f t="shared" ca="1" si="9"/>
        <v/>
      </c>
      <c r="AB5" s="217" t="str">
        <f t="shared" ca="1" si="9"/>
        <v/>
      </c>
      <c r="AC5" s="219" t="str">
        <f t="shared" ca="1" si="9"/>
        <v/>
      </c>
      <c r="AD5" s="220" t="str">
        <f t="shared" ca="1" si="9"/>
        <v/>
      </c>
      <c r="AE5" s="221" t="str">
        <f t="shared" ca="1" si="9"/>
        <v/>
      </c>
      <c r="AF5" s="222" t="str">
        <f t="shared" ca="1" si="9"/>
        <v/>
      </c>
      <c r="AG5" s="223" t="str">
        <f ca="1">IF($B$5=0,"",IF(INDEX(AG$1:AG$30,$B$5)="",O2BRAND1,INDEX(AG$1:AG$30,$B$5)))</f>
        <v/>
      </c>
      <c r="AH5" s="225" t="str">
        <f ca="1">IF($B$5=0,"",IF(INDEX(AH$1:AH$30,$B$5)="","",INDEX(AH$1:AH$30,$B$5)))</f>
        <v/>
      </c>
      <c r="AI5" s="661" t="str">
        <f ca="1">IF($B$5=0,"",IF(INDEX(AI$1:AI$30,$B$5)="","",INDEX(AI$1:AI$30,$B$5)))</f>
        <v/>
      </c>
      <c r="AJ5" s="218" t="str">
        <f ca="1">IF($B$5=0,"",IF(INDEX(AJ$1:AJ$30,$B$5)="","",INDEX(AJ$1:AJ$30,$B$5)))</f>
        <v/>
      </c>
      <c r="AK5" s="651" t="str">
        <f ca="1">IF($B$5=0,"",IF(INDEX(AK$1:AK$30,$B$5)="","",IF(AND(OR($AI5="",INGVAN="",$AI5&lt;=INGVAN),OR($AI5="",INGTOT="",$AI5&lt;=INGTOT),OR($AJ5="",INGVAN="",$AJ5&gt;=INGVAN),OR($AJ5="",INGTOT="",$AJ5&gt;=INGTOT)),INDEX(AK$1:AK$30,$B$5),"")))</f>
        <v/>
      </c>
      <c r="AL5" s="223" t="str">
        <f ca="1">IF($B$5=0,"",IF(INDEX(AL$1:AL$30,$B$5)="","",IF(AND(OR($AI5="",INGVAN="",$AI5&lt;=INGVAN),OR($AI5="",INGTOT="",$AI5&lt;=INGTOT),OR($AJ5="",INGVAN="",$AJ5&gt;=INGVAN),OR($AJ5="",INGTOT="",$AJ5&gt;=INGTOT)),INDEX(AL$1:AL$30,$B$5),"")))</f>
        <v/>
      </c>
      <c r="AM5" s="224" t="str">
        <f ca="1">IF($B$5=0,"",IF(INDEX(AM$1:AM$30,$B$5)="","",IF(AND(OR($AI5="",INGVAN="",$AI5&lt;=INGVAN),OR($AI5="",INGTOT="",$AI5&lt;=INGTOT),OR($AJ5="",INGVAN="",$AJ5&gt;=INGVAN),OR($AJ5="",INGTOT="",$AJ5&gt;=INGTOT)),INDEX(AM$1:AM$30,$B$5),"")))</f>
        <v/>
      </c>
      <c r="AN5" s="226"/>
      <c r="AO5" s="855" t="str">
        <f t="shared" ref="AO5:AW5" ca="1" si="10">IF($B$5=0,"",IF(INDEX(AO$1:AO$30,$B$5)="","",INDEX(AO$1:AO$30,$B$5)))</f>
        <v/>
      </c>
      <c r="AP5" s="227" t="str">
        <f t="shared" ca="1" si="10"/>
        <v/>
      </c>
      <c r="AQ5" s="227" t="str">
        <f t="shared" ca="1" si="10"/>
        <v/>
      </c>
      <c r="AR5" s="227" t="str">
        <f t="shared" ca="1" si="10"/>
        <v/>
      </c>
      <c r="AS5" s="227" t="str">
        <f t="shared" ca="1" si="10"/>
        <v/>
      </c>
      <c r="AT5" s="227" t="str">
        <f t="shared" ca="1" si="10"/>
        <v/>
      </c>
      <c r="AU5" s="227" t="str">
        <f t="shared" ca="1" si="10"/>
        <v/>
      </c>
      <c r="AV5" s="227" t="str">
        <f t="shared" ca="1" si="10"/>
        <v/>
      </c>
      <c r="AW5" s="227" t="str">
        <f t="shared" ca="1" si="10"/>
        <v/>
      </c>
      <c r="AX5" s="228"/>
    </row>
    <row r="6" spans="1:50" ht="12" thickBot="1" x14ac:dyDescent="0.25">
      <c r="A6" s="182" t="s">
        <v>30</v>
      </c>
      <c r="B6" s="190"/>
      <c r="C6" s="191">
        <f ca="1">MAX(C8:C30)</f>
        <v>0</v>
      </c>
      <c r="D6" s="196" t="str">
        <f t="shared" ref="D6:AF6" ca="1" si="11">IF($C$6=0,"",IF(INDEX(D$1:D$30,$C$6)="","",INDEX(D$1:D$30,$C$6)))</f>
        <v/>
      </c>
      <c r="E6" s="196" t="str">
        <f t="shared" ca="1" si="11"/>
        <v/>
      </c>
      <c r="F6" s="196" t="str">
        <f t="shared" ca="1" si="11"/>
        <v/>
      </c>
      <c r="G6" s="196" t="str">
        <f t="shared" ca="1" si="11"/>
        <v/>
      </c>
      <c r="H6" s="196" t="str">
        <f t="shared" ca="1" si="11"/>
        <v/>
      </c>
      <c r="I6" s="197" t="str">
        <f t="shared" ca="1" si="11"/>
        <v/>
      </c>
      <c r="J6" s="196" t="str">
        <f t="shared" ca="1" si="11"/>
        <v/>
      </c>
      <c r="K6" s="197" t="str">
        <f t="shared" ca="1" si="11"/>
        <v/>
      </c>
      <c r="L6" s="196" t="str">
        <f t="shared" ca="1" si="11"/>
        <v/>
      </c>
      <c r="M6" s="197" t="str">
        <f t="shared" ca="1" si="11"/>
        <v/>
      </c>
      <c r="N6" s="197" t="str">
        <f t="shared" ca="1" si="11"/>
        <v/>
      </c>
      <c r="O6" s="197" t="str">
        <f t="shared" ca="1" si="11"/>
        <v/>
      </c>
      <c r="P6" s="229" t="str">
        <f t="shared" ca="1" si="11"/>
        <v/>
      </c>
      <c r="Q6" s="230" t="str">
        <f t="shared" ca="1" si="11"/>
        <v/>
      </c>
      <c r="R6" s="230" t="str">
        <f t="shared" ca="1" si="11"/>
        <v/>
      </c>
      <c r="S6" s="230" t="str">
        <f t="shared" ca="1" si="11"/>
        <v/>
      </c>
      <c r="T6" s="230" t="str">
        <f t="shared" ca="1" si="11"/>
        <v/>
      </c>
      <c r="U6" s="230" t="str">
        <f t="shared" ca="1" si="11"/>
        <v/>
      </c>
      <c r="V6" s="231" t="str">
        <f t="shared" ca="1" si="11"/>
        <v/>
      </c>
      <c r="W6" s="231" t="str">
        <f t="shared" ca="1" si="11"/>
        <v/>
      </c>
      <c r="X6" s="231" t="str">
        <f t="shared" ca="1" si="11"/>
        <v/>
      </c>
      <c r="Y6" s="232" t="str">
        <f t="shared" ca="1" si="11"/>
        <v/>
      </c>
      <c r="Z6" s="233" t="str">
        <f t="shared" ca="1" si="11"/>
        <v/>
      </c>
      <c r="AA6" s="234" t="str">
        <f t="shared" ca="1" si="11"/>
        <v/>
      </c>
      <c r="AB6" s="233" t="str">
        <f t="shared" ca="1" si="11"/>
        <v/>
      </c>
      <c r="AC6" s="235" t="str">
        <f t="shared" ca="1" si="11"/>
        <v/>
      </c>
      <c r="AD6" s="236" t="str">
        <f t="shared" ca="1" si="11"/>
        <v/>
      </c>
      <c r="AE6" s="237" t="str">
        <f t="shared" ca="1" si="11"/>
        <v/>
      </c>
      <c r="AF6" s="196" t="str">
        <f t="shared" ca="1" si="11"/>
        <v/>
      </c>
      <c r="AG6" s="238" t="str">
        <f ca="1">IF($C$6=0,"",IF(INDEX(AG$1:AG$30,$C$6)="",O2BRAND2,INDEX(AG$1:AG$30,$C$6)))</f>
        <v/>
      </c>
      <c r="AH6" s="239" t="str">
        <f ca="1">IF($C$6=0,"",IF(INDEX(AH$1:AH$30,$C$6)="","",INDEX(AH$1:AH$30,$C$6)))</f>
        <v/>
      </c>
      <c r="AI6" s="662" t="str">
        <f ca="1">IF($C$6=0,"",IF(INDEX(AI$1:AI$30,$C$6)="","",INDEX(AI$1:AI$30,$C$6)))</f>
        <v/>
      </c>
      <c r="AJ6" s="234" t="str">
        <f ca="1">IF($C$6=0,"",IF(INDEX(AJ$1:AJ$30,$C$6)="","",INDEX(AJ$1:AJ$30,$C$6)))</f>
        <v/>
      </c>
      <c r="AK6" s="672" t="str">
        <f ca="1">IF($C$6=0,"",IF(INDEX(AK$1:AK$30,$C$6)="","",IF(AND(OR($AI6="",INGVAN="",$AI6&lt;=INGVAN),OR($AI6="",INGTOT="",$AI6&lt;=INGTOT),OR($AJ6="",INGVAN="",$AJ6&gt;=INGVAN),OR($AJ6="",INGTOT="",$AJ6&gt;=INGTOT)),INDEX(AK$1:AK$30,$C$6),"")))</f>
        <v/>
      </c>
      <c r="AL6" s="238" t="str">
        <f ca="1">IF($C$6=0,"",IF(INDEX(AL$1:AL$30,$C$6)="","",IF(AND(OR($AI6="",INGVAN="",$AI6&lt;=INGVAN),OR($AI6="",INGTOT="",$AI6&lt;=INGTOT),OR($AJ6="",INGVAN="",$AJ6&gt;=INGVAN),OR($AJ6="",INGTOT="",$AJ6&gt;=INGTOT)),INDEX(AL$1:AL$30,$C$6),"")))</f>
        <v/>
      </c>
      <c r="AM6" s="673" t="str">
        <f ca="1">IF($C$6=0,"",IF(INDEX(AM$1:AM$30,$C$6)="","",IF(AND(OR($AI6="",INGVAN="",$AI6&lt;=INGVAN),OR($AI6="",INGTOT="",$AI6&lt;=INGTOT),OR($AJ6="",INGVAN="",$AJ6&gt;=INGVAN),OR($AJ6="",INGTOT="",$AJ6&gt;=INGTOT)),INDEX(AM$1:AM$30,$C$6),"")))</f>
        <v/>
      </c>
      <c r="AN6" s="240"/>
      <c r="AO6" s="856" t="str">
        <f t="shared" ref="AO6:AW6" ca="1" si="12">IF($C$6=0,"",IF(INDEX(AO$1:AO$30,$C$6)="","",INDEX(AO$1:AO$30,$C$6)))</f>
        <v/>
      </c>
      <c r="AP6" s="241" t="str">
        <f t="shared" ca="1" si="12"/>
        <v/>
      </c>
      <c r="AQ6" s="241" t="str">
        <f t="shared" ca="1" si="12"/>
        <v/>
      </c>
      <c r="AR6" s="241" t="str">
        <f t="shared" ca="1" si="12"/>
        <v/>
      </c>
      <c r="AS6" s="241" t="str">
        <f t="shared" ca="1" si="12"/>
        <v/>
      </c>
      <c r="AT6" s="241" t="str">
        <f t="shared" ca="1" si="12"/>
        <v/>
      </c>
      <c r="AU6" s="241" t="str">
        <f t="shared" ca="1" si="12"/>
        <v/>
      </c>
      <c r="AV6" s="241" t="str">
        <f t="shared" ca="1" si="12"/>
        <v/>
      </c>
      <c r="AW6" s="241" t="str">
        <f t="shared" ca="1" si="12"/>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322"/>
      <c r="AO7" s="857" t="s">
        <v>243</v>
      </c>
      <c r="AP7" s="323" t="s">
        <v>363</v>
      </c>
      <c r="AQ7" s="323" t="s">
        <v>484</v>
      </c>
      <c r="AR7" s="323" t="s">
        <v>192</v>
      </c>
      <c r="AS7" s="323"/>
      <c r="AT7" s="320"/>
      <c r="AU7" s="321"/>
      <c r="AV7" s="321"/>
      <c r="AW7" s="321"/>
      <c r="AX7" s="319"/>
    </row>
    <row r="8" spans="1:50" x14ac:dyDescent="0.2">
      <c r="A8" s="295"/>
      <c r="B8" s="340"/>
      <c r="C8" s="341"/>
      <c r="D8" s="326"/>
      <c r="E8" s="46"/>
      <c r="F8" s="46"/>
      <c r="G8" s="147"/>
      <c r="H8" s="147"/>
      <c r="I8" s="148"/>
      <c r="J8" s="147"/>
      <c r="K8" s="148"/>
      <c r="L8" s="147"/>
      <c r="M8" s="56"/>
      <c r="N8" s="147"/>
      <c r="O8" s="59"/>
      <c r="P8" s="279"/>
      <c r="Q8" s="160"/>
      <c r="R8" s="149"/>
      <c r="S8" s="149"/>
      <c r="T8" s="149"/>
      <c r="U8" s="150"/>
      <c r="V8" s="150"/>
      <c r="W8" s="150"/>
      <c r="X8" s="150"/>
      <c r="Y8" s="151"/>
      <c r="Z8" s="143"/>
      <c r="AA8" s="144"/>
      <c r="AB8" s="143"/>
      <c r="AC8" s="145"/>
      <c r="AD8" s="146"/>
      <c r="AE8" s="276"/>
      <c r="AF8" s="152"/>
      <c r="AG8" s="147"/>
      <c r="AH8" s="636"/>
      <c r="AI8" s="645"/>
      <c r="AJ8" s="269"/>
      <c r="AK8" s="626"/>
      <c r="AL8" s="147"/>
      <c r="AM8" s="655"/>
      <c r="AN8" s="154"/>
      <c r="AO8" s="156"/>
      <c r="AP8" s="684"/>
      <c r="AQ8" s="155"/>
      <c r="AR8" s="155"/>
      <c r="AS8" s="149"/>
      <c r="AT8" s="155"/>
      <c r="AU8" s="157"/>
      <c r="AV8" s="157"/>
      <c r="AW8" s="157"/>
      <c r="AX8" s="151"/>
    </row>
    <row r="9" spans="1:50" x14ac:dyDescent="0.2">
      <c r="A9" s="363" t="s">
        <v>337</v>
      </c>
      <c r="B9" s="364"/>
      <c r="C9" s="365"/>
      <c r="D9" s="366"/>
      <c r="E9" s="367"/>
      <c r="F9" s="367"/>
      <c r="G9" s="368"/>
      <c r="H9" s="368"/>
      <c r="I9" s="369"/>
      <c r="J9" s="368"/>
      <c r="K9" s="369"/>
      <c r="L9" s="368"/>
      <c r="M9" s="370"/>
      <c r="N9" s="368"/>
      <c r="O9" s="371"/>
      <c r="P9" s="372"/>
      <c r="Q9" s="373"/>
      <c r="R9" s="374"/>
      <c r="S9" s="374"/>
      <c r="T9" s="374"/>
      <c r="U9" s="375"/>
      <c r="V9" s="375"/>
      <c r="W9" s="375"/>
      <c r="X9" s="375"/>
      <c r="Y9" s="376"/>
      <c r="Z9" s="377"/>
      <c r="AA9" s="378"/>
      <c r="AB9" s="377"/>
      <c r="AC9" s="379"/>
      <c r="AD9" s="380"/>
      <c r="AE9" s="381"/>
      <c r="AF9" s="382"/>
      <c r="AG9" s="368"/>
      <c r="AH9" s="637"/>
      <c r="AI9" s="646"/>
      <c r="AJ9" s="383"/>
      <c r="AK9" s="627"/>
      <c r="AL9" s="368"/>
      <c r="AM9" s="656"/>
      <c r="AN9" s="345"/>
      <c r="AO9" s="686" t="s">
        <v>243</v>
      </c>
      <c r="AP9" s="333" t="s">
        <v>363</v>
      </c>
      <c r="AQ9" s="346" t="s">
        <v>484</v>
      </c>
      <c r="AR9" s="346" t="s">
        <v>192</v>
      </c>
      <c r="AS9" s="346"/>
      <c r="AT9" s="336"/>
      <c r="AU9" s="337"/>
      <c r="AV9" s="337"/>
      <c r="AW9" s="337"/>
      <c r="AX9" s="335"/>
    </row>
    <row r="10" spans="1:50" x14ac:dyDescent="0.2">
      <c r="A10" s="584"/>
      <c r="B10" s="585"/>
      <c r="C10" s="586"/>
      <c r="D10" s="587"/>
      <c r="E10" s="588"/>
      <c r="F10" s="588"/>
      <c r="G10" s="589"/>
      <c r="H10" s="589"/>
      <c r="I10" s="590"/>
      <c r="J10" s="589"/>
      <c r="K10" s="590"/>
      <c r="L10" s="589"/>
      <c r="M10" s="591"/>
      <c r="N10" s="589"/>
      <c r="O10" s="592"/>
      <c r="P10" s="593"/>
      <c r="Q10" s="594"/>
      <c r="R10" s="595"/>
      <c r="S10" s="595"/>
      <c r="T10" s="595"/>
      <c r="U10" s="596"/>
      <c r="V10" s="596"/>
      <c r="W10" s="596"/>
      <c r="X10" s="596"/>
      <c r="Y10" s="597"/>
      <c r="Z10" s="598"/>
      <c r="AA10" s="599"/>
      <c r="AB10" s="598"/>
      <c r="AC10" s="600"/>
      <c r="AD10" s="601"/>
      <c r="AE10" s="602"/>
      <c r="AF10" s="603"/>
      <c r="AG10" s="589"/>
      <c r="AH10" s="638"/>
      <c r="AI10" s="647"/>
      <c r="AJ10" s="604"/>
      <c r="AK10" s="628"/>
      <c r="AL10" s="589"/>
      <c r="AM10" s="657"/>
      <c r="AN10" s="605"/>
      <c r="AO10" s="858"/>
      <c r="AP10" s="606"/>
      <c r="AQ10" s="606"/>
      <c r="AR10" s="606"/>
      <c r="AS10" s="595"/>
      <c r="AT10" s="606"/>
      <c r="AU10" s="607"/>
      <c r="AV10" s="607"/>
      <c r="AW10" s="607"/>
      <c r="AX10" s="597"/>
    </row>
    <row r="11" spans="1:50" x14ac:dyDescent="0.2">
      <c r="A11" s="393" t="s">
        <v>294</v>
      </c>
      <c r="B11" s="394"/>
      <c r="C11" s="395"/>
      <c r="D11" s="396"/>
      <c r="E11" s="397"/>
      <c r="F11" s="397"/>
      <c r="G11" s="398"/>
      <c r="H11" s="398"/>
      <c r="I11" s="399"/>
      <c r="J11" s="398"/>
      <c r="K11" s="399"/>
      <c r="L11" s="398"/>
      <c r="M11" s="400"/>
      <c r="N11" s="398"/>
      <c r="O11" s="401"/>
      <c r="P11" s="402"/>
      <c r="Q11" s="403"/>
      <c r="R11" s="404"/>
      <c r="S11" s="404"/>
      <c r="T11" s="404"/>
      <c r="U11" s="405"/>
      <c r="V11" s="405"/>
      <c r="W11" s="405"/>
      <c r="X11" s="405"/>
      <c r="Y11" s="406"/>
      <c r="Z11" s="407"/>
      <c r="AA11" s="408"/>
      <c r="AB11" s="407"/>
      <c r="AC11" s="409"/>
      <c r="AD11" s="410"/>
      <c r="AE11" s="411"/>
      <c r="AF11" s="412"/>
      <c r="AG11" s="398"/>
      <c r="AH11" s="639"/>
      <c r="AI11" s="648"/>
      <c r="AJ11" s="413"/>
      <c r="AK11" s="629"/>
      <c r="AL11" s="398"/>
      <c r="AM11" s="658"/>
      <c r="AN11" s="332"/>
      <c r="AO11" s="859" t="s">
        <v>426</v>
      </c>
      <c r="AP11" s="333" t="s">
        <v>491</v>
      </c>
      <c r="AQ11" s="333"/>
      <c r="AR11" s="333" t="s">
        <v>410</v>
      </c>
      <c r="AS11" s="333"/>
      <c r="AT11" s="330"/>
      <c r="AU11" s="331"/>
      <c r="AV11" s="331"/>
      <c r="AW11" s="331"/>
      <c r="AX11" s="328"/>
    </row>
    <row r="12" spans="1:50" x14ac:dyDescent="0.2">
      <c r="A12" s="295"/>
      <c r="B12" s="339">
        <f t="shared" ref="B12" ca="1" si="13">IF(AND(SUM(D12:K12,L12:M12)=COUNT(D12:K12,L12:M12),COUNT(D12:K12,L12:M12)&gt;0),ROW(B12),0)</f>
        <v>0</v>
      </c>
      <c r="C12" s="249">
        <f t="shared" ref="C12" ca="1" si="14">IF(AND(SUM(D12:K12,N12:O12)=COUNT(D12:K12,N12:O12),COUNT(D12:K12,N12:O12)&gt;0),ROW(B12),0)</f>
        <v>0</v>
      </c>
      <c r="D12" s="246">
        <f t="shared" ref="D12" ca="1" si="15">IF(AND(OR($Z12="",INGVAN="",$Z12&lt;=INGVAN),OR($Z12="",INGTOT="",$Z12&lt;=INGTOT),OR($AA12="",INGVAN="",$AA12&gt;=INGVAN),OR($AA12="",INGTOT="",$AA12&gt;=INGTOT)),1,0)</f>
        <v>1</v>
      </c>
      <c r="E12" s="247">
        <f t="shared" ref="E12" ca="1" si="16">IF(AND(OR($AB12="",Tdatum&gt;=$AB12,AND(AB12&lt;&gt;"",ISNUMBER(FIND("j",LOWER(AD12))))),OR($AC12="",Tdatum&lt;=$AC12)),1,0)</f>
        <v>1</v>
      </c>
      <c r="F12" s="247">
        <f t="shared" ref="F12" ca="1" si="17">IF(AND(OR($S12="",MW&gt;=$S12),OR($T12="",$T12&gt;MW)),1,0)</f>
        <v>1</v>
      </c>
      <c r="G12" s="147">
        <f ca="1">IF(SI=4,1,0)</f>
        <v>0</v>
      </c>
      <c r="H12" s="147"/>
      <c r="I12" s="148"/>
      <c r="J12" s="147"/>
      <c r="K12" s="148"/>
      <c r="L12" s="802">
        <f ca="1">IF(BRAND1=1,1,0)</f>
        <v>1</v>
      </c>
      <c r="M12" s="248">
        <f ca="1">IF(AND(ParBAL1&lt;&gt;"",ParBAL1=P12),1,0)</f>
        <v>0</v>
      </c>
      <c r="N12" s="802">
        <f ca="1">IF(BRAND2=1,1,0)</f>
        <v>0</v>
      </c>
      <c r="O12" s="249">
        <f ca="1">IF(AND(ParBAL2&lt;&gt;"",ParBAL2=P12),1,0)</f>
        <v>0</v>
      </c>
      <c r="P12" s="279" t="s">
        <v>40</v>
      </c>
      <c r="Q12" s="149" t="s">
        <v>404</v>
      </c>
      <c r="R12" s="149" t="s">
        <v>180</v>
      </c>
      <c r="S12" s="149"/>
      <c r="T12" s="149"/>
      <c r="U12" s="150"/>
      <c r="V12" s="150"/>
      <c r="W12" s="150"/>
      <c r="X12" s="150"/>
      <c r="Y12" s="151"/>
      <c r="Z12" s="143"/>
      <c r="AA12" s="144"/>
      <c r="AB12" s="143"/>
      <c r="AC12" s="145"/>
      <c r="AD12" s="146"/>
      <c r="AE12" s="276" t="s">
        <v>409</v>
      </c>
      <c r="AF12" s="152" t="s">
        <v>386</v>
      </c>
      <c r="AG12" s="147"/>
      <c r="AH12" s="636"/>
      <c r="AI12" s="645"/>
      <c r="AJ12" s="269"/>
      <c r="AK12" s="626"/>
      <c r="AL12" s="147"/>
      <c r="AM12" s="655"/>
      <c r="AN12" s="347"/>
      <c r="AO12" s="860" t="str">
        <f>AO11</f>
        <v>Er geldt een periodiek meetverplichting van eens per jaar (art 4.41a).</v>
      </c>
      <c r="AP12" s="325" t="str">
        <f t="shared" ref="AP12" si="18">AP11</f>
        <v xml:space="preserve">Een periodieke meting bestaat uit drie deelmetingen van ten minste 30 minuten. De metingen worden uitgevoerd door een geaccrediteerd laboratorium volgens NPR-CEN/TS 13649 (art. 4.40 en 4.48). </v>
      </c>
      <c r="AQ12" s="325"/>
      <c r="AR12" s="325" t="str">
        <f t="shared" ref="AR12" si="19">AR11</f>
        <v>De installatie voldoet aan de gestelde emissie-eis als alle gevalideerde meetresultaten van de deelmetingen lager zijn dan de emissie-eis (art. 4.44). Een gevalideerd meetresultaat is het meetresultaat nadat de aangetoonde meetonzekerheid in mindering is gebracht.</v>
      </c>
      <c r="AS12" s="348"/>
      <c r="AT12" s="149"/>
      <c r="AU12" s="150"/>
      <c r="AV12" s="150"/>
      <c r="AW12" s="150"/>
      <c r="AX12" s="151"/>
    </row>
    <row r="13" spans="1:50" x14ac:dyDescent="0.2">
      <c r="A13" s="295"/>
      <c r="B13" s="340"/>
      <c r="C13" s="341"/>
      <c r="D13" s="326"/>
      <c r="E13" s="46"/>
      <c r="F13" s="46"/>
      <c r="G13" s="147"/>
      <c r="H13" s="147"/>
      <c r="I13" s="148"/>
      <c r="J13" s="147"/>
      <c r="K13" s="148"/>
      <c r="L13" s="147"/>
      <c r="M13" s="56"/>
      <c r="N13" s="147"/>
      <c r="O13" s="59"/>
      <c r="P13" s="279"/>
      <c r="Q13" s="160"/>
      <c r="R13" s="149"/>
      <c r="S13" s="149"/>
      <c r="T13" s="149"/>
      <c r="U13" s="150"/>
      <c r="V13" s="150"/>
      <c r="W13" s="150"/>
      <c r="X13" s="150"/>
      <c r="Y13" s="151"/>
      <c r="Z13" s="143"/>
      <c r="AA13" s="144"/>
      <c r="AB13" s="143"/>
      <c r="AC13" s="145"/>
      <c r="AD13" s="146"/>
      <c r="AE13" s="276"/>
      <c r="AF13" s="152"/>
      <c r="AG13" s="147"/>
      <c r="AH13" s="636"/>
      <c r="AI13" s="645"/>
      <c r="AJ13" s="269"/>
      <c r="AK13" s="626"/>
      <c r="AL13" s="147"/>
      <c r="AM13" s="655"/>
      <c r="AN13" s="683"/>
      <c r="AO13" s="685"/>
      <c r="AP13" s="684"/>
      <c r="AQ13" s="684"/>
      <c r="AR13" s="684"/>
      <c r="AS13" s="149"/>
      <c r="AT13" s="155"/>
      <c r="AU13" s="157"/>
      <c r="AV13" s="157"/>
      <c r="AW13" s="157"/>
      <c r="AX13" s="151"/>
    </row>
    <row r="14" spans="1:50" x14ac:dyDescent="0.2">
      <c r="A14" s="363" t="s">
        <v>338</v>
      </c>
      <c r="B14" s="364"/>
      <c r="C14" s="365"/>
      <c r="D14" s="366"/>
      <c r="E14" s="367"/>
      <c r="F14" s="367"/>
      <c r="G14" s="368"/>
      <c r="H14" s="368"/>
      <c r="I14" s="369"/>
      <c r="J14" s="368"/>
      <c r="K14" s="369"/>
      <c r="L14" s="368"/>
      <c r="M14" s="370"/>
      <c r="N14" s="368"/>
      <c r="O14" s="371"/>
      <c r="P14" s="372"/>
      <c r="Q14" s="373"/>
      <c r="R14" s="374"/>
      <c r="S14" s="374"/>
      <c r="T14" s="374"/>
      <c r="U14" s="375"/>
      <c r="V14" s="375"/>
      <c r="W14" s="375"/>
      <c r="X14" s="375"/>
      <c r="Y14" s="376"/>
      <c r="Z14" s="377"/>
      <c r="AA14" s="378"/>
      <c r="AB14" s="377"/>
      <c r="AC14" s="379"/>
      <c r="AD14" s="380"/>
      <c r="AE14" s="381"/>
      <c r="AF14" s="382"/>
      <c r="AG14" s="368"/>
      <c r="AH14" s="637"/>
      <c r="AI14" s="646"/>
      <c r="AJ14" s="383"/>
      <c r="AK14" s="627"/>
      <c r="AL14" s="368"/>
      <c r="AM14" s="656"/>
      <c r="AN14" s="332"/>
      <c r="AO14" s="859" t="s">
        <v>426</v>
      </c>
      <c r="AP14" s="333" t="s">
        <v>485</v>
      </c>
      <c r="AQ14" s="333"/>
      <c r="AR14" s="333" t="s">
        <v>410</v>
      </c>
      <c r="AS14" s="346"/>
      <c r="AT14" s="336"/>
      <c r="AU14" s="337"/>
      <c r="AV14" s="337"/>
      <c r="AW14" s="337"/>
      <c r="AX14" s="335"/>
    </row>
    <row r="15" spans="1:50" x14ac:dyDescent="0.2">
      <c r="A15" s="584"/>
      <c r="B15" s="585"/>
      <c r="C15" s="586"/>
      <c r="D15" s="587"/>
      <c r="E15" s="588"/>
      <c r="F15" s="588"/>
      <c r="G15" s="589"/>
      <c r="H15" s="589"/>
      <c r="I15" s="590"/>
      <c r="J15" s="589"/>
      <c r="K15" s="590"/>
      <c r="L15" s="589"/>
      <c r="M15" s="591"/>
      <c r="N15" s="589"/>
      <c r="O15" s="592"/>
      <c r="P15" s="593"/>
      <c r="Q15" s="594"/>
      <c r="R15" s="595"/>
      <c r="S15" s="595"/>
      <c r="T15" s="595"/>
      <c r="U15" s="596"/>
      <c r="V15" s="596"/>
      <c r="W15" s="596"/>
      <c r="X15" s="596"/>
      <c r="Y15" s="597"/>
      <c r="Z15" s="598"/>
      <c r="AA15" s="599"/>
      <c r="AB15" s="598"/>
      <c r="AC15" s="600"/>
      <c r="AD15" s="601"/>
      <c r="AE15" s="602"/>
      <c r="AF15" s="603"/>
      <c r="AG15" s="589"/>
      <c r="AH15" s="638"/>
      <c r="AI15" s="647"/>
      <c r="AJ15" s="604"/>
      <c r="AK15" s="628"/>
      <c r="AL15" s="589"/>
      <c r="AM15" s="657"/>
      <c r="AN15" s="605"/>
      <c r="AO15" s="858"/>
      <c r="AP15" s="606"/>
      <c r="AQ15" s="606"/>
      <c r="AR15" s="606"/>
      <c r="AS15" s="595"/>
      <c r="AT15" s="606"/>
      <c r="AU15" s="607"/>
      <c r="AV15" s="607"/>
      <c r="AW15" s="607"/>
      <c r="AX15" s="597"/>
    </row>
    <row r="16" spans="1:50" x14ac:dyDescent="0.2">
      <c r="A16" s="393" t="s">
        <v>293</v>
      </c>
      <c r="B16" s="394"/>
      <c r="C16" s="395"/>
      <c r="D16" s="396"/>
      <c r="E16" s="397"/>
      <c r="F16" s="397"/>
      <c r="G16" s="398"/>
      <c r="H16" s="398"/>
      <c r="I16" s="399"/>
      <c r="J16" s="398"/>
      <c r="K16" s="399"/>
      <c r="L16" s="398"/>
      <c r="M16" s="400"/>
      <c r="N16" s="398"/>
      <c r="O16" s="401"/>
      <c r="P16" s="402"/>
      <c r="Q16" s="403"/>
      <c r="R16" s="404"/>
      <c r="S16" s="404"/>
      <c r="T16" s="404"/>
      <c r="U16" s="405"/>
      <c r="V16" s="405"/>
      <c r="W16" s="405"/>
      <c r="X16" s="405"/>
      <c r="Y16" s="406"/>
      <c r="Z16" s="407"/>
      <c r="AA16" s="408"/>
      <c r="AB16" s="407"/>
      <c r="AC16" s="409"/>
      <c r="AD16" s="410"/>
      <c r="AE16" s="411"/>
      <c r="AF16" s="412"/>
      <c r="AG16" s="398"/>
      <c r="AH16" s="639"/>
      <c r="AI16" s="648"/>
      <c r="AJ16" s="413"/>
      <c r="AK16" s="629"/>
      <c r="AL16" s="398"/>
      <c r="AM16" s="658"/>
      <c r="AN16" s="332"/>
      <c r="AO16" s="859"/>
      <c r="AP16" s="333"/>
      <c r="AQ16" s="333"/>
      <c r="AR16" s="333"/>
      <c r="AS16" s="327"/>
      <c r="AT16" s="330"/>
      <c r="AU16" s="331"/>
      <c r="AV16" s="331"/>
      <c r="AW16" s="331"/>
      <c r="AX16" s="328"/>
    </row>
    <row r="17" spans="1:50" x14ac:dyDescent="0.2">
      <c r="A17" s="295"/>
      <c r="B17" s="340"/>
      <c r="C17" s="341"/>
      <c r="D17" s="326"/>
      <c r="E17" s="46"/>
      <c r="F17" s="46"/>
      <c r="G17" s="147"/>
      <c r="H17" s="147"/>
      <c r="I17" s="148"/>
      <c r="J17" s="147"/>
      <c r="K17" s="148"/>
      <c r="L17" s="147"/>
      <c r="M17" s="56"/>
      <c r="N17" s="147"/>
      <c r="O17" s="59"/>
      <c r="P17" s="279"/>
      <c r="Q17" s="160"/>
      <c r="R17" s="149"/>
      <c r="S17" s="149"/>
      <c r="T17" s="149"/>
      <c r="U17" s="150"/>
      <c r="V17" s="150"/>
      <c r="W17" s="150"/>
      <c r="X17" s="150"/>
      <c r="Y17" s="151"/>
      <c r="Z17" s="143"/>
      <c r="AA17" s="144"/>
      <c r="AB17" s="143"/>
      <c r="AC17" s="145"/>
      <c r="AD17" s="146"/>
      <c r="AE17" s="276"/>
      <c r="AF17" s="152"/>
      <c r="AG17" s="147"/>
      <c r="AH17" s="636"/>
      <c r="AI17" s="645"/>
      <c r="AJ17" s="269"/>
      <c r="AK17" s="626"/>
      <c r="AL17" s="147"/>
      <c r="AM17" s="636"/>
      <c r="AN17" s="683"/>
      <c r="AO17" s="685"/>
      <c r="AP17" s="684"/>
      <c r="AQ17" s="684"/>
      <c r="AR17" s="684"/>
      <c r="AS17" s="149"/>
      <c r="AT17" s="155"/>
      <c r="AU17" s="157"/>
      <c r="AV17" s="157"/>
      <c r="AW17" s="157"/>
      <c r="AX17" s="151"/>
    </row>
    <row r="18" spans="1:50" x14ac:dyDescent="0.2">
      <c r="A18" s="363" t="s">
        <v>339</v>
      </c>
      <c r="B18" s="364"/>
      <c r="C18" s="365"/>
      <c r="D18" s="366"/>
      <c r="E18" s="367"/>
      <c r="F18" s="367"/>
      <c r="G18" s="368"/>
      <c r="H18" s="368"/>
      <c r="I18" s="369"/>
      <c r="J18" s="368"/>
      <c r="K18" s="369"/>
      <c r="L18" s="368"/>
      <c r="M18" s="370"/>
      <c r="N18" s="368"/>
      <c r="O18" s="371"/>
      <c r="P18" s="372"/>
      <c r="Q18" s="373"/>
      <c r="R18" s="374"/>
      <c r="S18" s="374"/>
      <c r="T18" s="374"/>
      <c r="U18" s="375"/>
      <c r="V18" s="375"/>
      <c r="W18" s="375"/>
      <c r="X18" s="375"/>
      <c r="Y18" s="376"/>
      <c r="Z18" s="377"/>
      <c r="AA18" s="378"/>
      <c r="AB18" s="377"/>
      <c r="AC18" s="379"/>
      <c r="AD18" s="380"/>
      <c r="AE18" s="381"/>
      <c r="AF18" s="382"/>
      <c r="AG18" s="368"/>
      <c r="AH18" s="637"/>
      <c r="AI18" s="646"/>
      <c r="AJ18" s="383"/>
      <c r="AK18" s="627"/>
      <c r="AL18" s="368"/>
      <c r="AM18" s="637"/>
      <c r="AN18" s="345"/>
      <c r="AO18" s="686"/>
      <c r="AP18" s="346"/>
      <c r="AQ18" s="346"/>
      <c r="AR18" s="346"/>
      <c r="AS18" s="346"/>
      <c r="AT18" s="336"/>
      <c r="AU18" s="337"/>
      <c r="AV18" s="337"/>
      <c r="AW18" s="337"/>
      <c r="AX18" s="335"/>
    </row>
    <row r="19" spans="1:50" x14ac:dyDescent="0.2">
      <c r="A19" s="584"/>
      <c r="B19" s="585"/>
      <c r="C19" s="586"/>
      <c r="D19" s="587"/>
      <c r="E19" s="588"/>
      <c r="F19" s="588"/>
      <c r="G19" s="589"/>
      <c r="H19" s="589"/>
      <c r="I19" s="590"/>
      <c r="J19" s="589"/>
      <c r="K19" s="590"/>
      <c r="L19" s="589"/>
      <c r="M19" s="591"/>
      <c r="N19" s="589"/>
      <c r="O19" s="592"/>
      <c r="P19" s="593"/>
      <c r="Q19" s="594"/>
      <c r="R19" s="595"/>
      <c r="S19" s="595"/>
      <c r="T19" s="595"/>
      <c r="U19" s="596"/>
      <c r="V19" s="596"/>
      <c r="W19" s="596"/>
      <c r="X19" s="596"/>
      <c r="Y19" s="597"/>
      <c r="Z19" s="598"/>
      <c r="AA19" s="599"/>
      <c r="AB19" s="598"/>
      <c r="AC19" s="600"/>
      <c r="AD19" s="601"/>
      <c r="AE19" s="602"/>
      <c r="AF19" s="603"/>
      <c r="AG19" s="589"/>
      <c r="AH19" s="638"/>
      <c r="AI19" s="647"/>
      <c r="AJ19" s="604"/>
      <c r="AK19" s="628"/>
      <c r="AL19" s="589"/>
      <c r="AM19" s="657"/>
      <c r="AN19" s="605"/>
      <c r="AO19" s="858"/>
      <c r="AP19" s="606"/>
      <c r="AQ19" s="606"/>
      <c r="AR19" s="606"/>
      <c r="AS19" s="595"/>
      <c r="AT19" s="606"/>
      <c r="AU19" s="607"/>
      <c r="AV19" s="607"/>
      <c r="AW19" s="607"/>
      <c r="AX19" s="597"/>
    </row>
    <row r="20" spans="1:50" x14ac:dyDescent="0.2">
      <c r="A20" s="393" t="s">
        <v>292</v>
      </c>
      <c r="B20" s="394"/>
      <c r="C20" s="395"/>
      <c r="D20" s="396"/>
      <c r="E20" s="397"/>
      <c r="F20" s="397"/>
      <c r="G20" s="398"/>
      <c r="H20" s="398"/>
      <c r="I20" s="399"/>
      <c r="J20" s="398"/>
      <c r="K20" s="399"/>
      <c r="L20" s="398"/>
      <c r="M20" s="400"/>
      <c r="N20" s="398"/>
      <c r="O20" s="401"/>
      <c r="P20" s="402"/>
      <c r="Q20" s="403"/>
      <c r="R20" s="404"/>
      <c r="S20" s="404"/>
      <c r="T20" s="404"/>
      <c r="U20" s="405"/>
      <c r="V20" s="405"/>
      <c r="W20" s="405"/>
      <c r="X20" s="405"/>
      <c r="Y20" s="406"/>
      <c r="Z20" s="407"/>
      <c r="AA20" s="408"/>
      <c r="AB20" s="407"/>
      <c r="AC20" s="409"/>
      <c r="AD20" s="410"/>
      <c r="AE20" s="411"/>
      <c r="AF20" s="412"/>
      <c r="AG20" s="398"/>
      <c r="AH20" s="639"/>
      <c r="AI20" s="648"/>
      <c r="AJ20" s="413"/>
      <c r="AK20" s="629"/>
      <c r="AL20" s="398"/>
      <c r="AM20" s="658"/>
      <c r="AN20" s="332"/>
      <c r="AO20" s="859"/>
      <c r="AP20" s="333"/>
      <c r="AQ20" s="333"/>
      <c r="AR20" s="333"/>
      <c r="AS20" s="327"/>
      <c r="AT20" s="330"/>
      <c r="AU20" s="331"/>
      <c r="AV20" s="331"/>
      <c r="AW20" s="331"/>
      <c r="AX20" s="328"/>
    </row>
    <row r="21" spans="1:50" x14ac:dyDescent="0.2">
      <c r="A21" s="295"/>
      <c r="B21" s="340"/>
      <c r="C21" s="341"/>
      <c r="D21" s="326"/>
      <c r="E21" s="46"/>
      <c r="F21" s="46"/>
      <c r="G21" s="147"/>
      <c r="H21" s="147"/>
      <c r="I21" s="148"/>
      <c r="J21" s="147"/>
      <c r="K21" s="148"/>
      <c r="L21" s="147"/>
      <c r="M21" s="56"/>
      <c r="N21" s="147"/>
      <c r="O21" s="59"/>
      <c r="P21" s="279"/>
      <c r="Q21" s="160"/>
      <c r="R21" s="149"/>
      <c r="S21" s="149"/>
      <c r="T21" s="149"/>
      <c r="U21" s="150"/>
      <c r="V21" s="150"/>
      <c r="W21" s="150"/>
      <c r="X21" s="150"/>
      <c r="Y21" s="151"/>
      <c r="Z21" s="143"/>
      <c r="AA21" s="144"/>
      <c r="AB21" s="143"/>
      <c r="AC21" s="145"/>
      <c r="AD21" s="146"/>
      <c r="AE21" s="276"/>
      <c r="AF21" s="152"/>
      <c r="AG21" s="147"/>
      <c r="AH21" s="636"/>
      <c r="AI21" s="645"/>
      <c r="AJ21" s="269"/>
      <c r="AK21" s="626"/>
      <c r="AL21" s="147"/>
      <c r="AM21" s="655"/>
      <c r="AN21" s="154"/>
      <c r="AO21" s="156"/>
      <c r="AP21" s="155"/>
      <c r="AQ21" s="155"/>
      <c r="AR21" s="155"/>
      <c r="AS21" s="149"/>
      <c r="AT21" s="155"/>
      <c r="AU21" s="157"/>
      <c r="AV21" s="157"/>
      <c r="AW21" s="157"/>
      <c r="AX21" s="151"/>
    </row>
    <row r="22" spans="1:50" x14ac:dyDescent="0.2">
      <c r="A22" s="363" t="s">
        <v>340</v>
      </c>
      <c r="B22" s="364"/>
      <c r="C22" s="365"/>
      <c r="D22" s="366"/>
      <c r="E22" s="367"/>
      <c r="F22" s="367"/>
      <c r="G22" s="368"/>
      <c r="H22" s="368"/>
      <c r="I22" s="369"/>
      <c r="J22" s="368"/>
      <c r="K22" s="369"/>
      <c r="L22" s="368"/>
      <c r="M22" s="370"/>
      <c r="N22" s="368"/>
      <c r="O22" s="371"/>
      <c r="P22" s="372"/>
      <c r="Q22" s="373"/>
      <c r="R22" s="374"/>
      <c r="S22" s="374"/>
      <c r="T22" s="374"/>
      <c r="U22" s="375"/>
      <c r="V22" s="375"/>
      <c r="W22" s="375"/>
      <c r="X22" s="375"/>
      <c r="Y22" s="376"/>
      <c r="Z22" s="377"/>
      <c r="AA22" s="378"/>
      <c r="AB22" s="377"/>
      <c r="AC22" s="379"/>
      <c r="AD22" s="380"/>
      <c r="AE22" s="381"/>
      <c r="AF22" s="382"/>
      <c r="AG22" s="368"/>
      <c r="AH22" s="637"/>
      <c r="AI22" s="646"/>
      <c r="AJ22" s="383"/>
      <c r="AK22" s="627"/>
      <c r="AL22" s="368"/>
      <c r="AM22" s="656"/>
      <c r="AN22" s="345"/>
      <c r="AO22" s="686"/>
      <c r="AP22" s="346"/>
      <c r="AQ22" s="346"/>
      <c r="AR22" s="346"/>
      <c r="AS22" s="346"/>
      <c r="AT22" s="336"/>
      <c r="AU22" s="337"/>
      <c r="AV22" s="337"/>
      <c r="AW22" s="337"/>
      <c r="AX22" s="335"/>
    </row>
    <row r="23" spans="1:50" x14ac:dyDescent="0.2">
      <c r="A23" s="584"/>
      <c r="B23" s="585"/>
      <c r="C23" s="586"/>
      <c r="D23" s="587"/>
      <c r="E23" s="588"/>
      <c r="F23" s="588"/>
      <c r="G23" s="589"/>
      <c r="H23" s="589"/>
      <c r="I23" s="590"/>
      <c r="J23" s="589"/>
      <c r="K23" s="590"/>
      <c r="L23" s="589"/>
      <c r="M23" s="591"/>
      <c r="N23" s="589"/>
      <c r="O23" s="592"/>
      <c r="P23" s="593"/>
      <c r="Q23" s="594"/>
      <c r="R23" s="595"/>
      <c r="S23" s="595"/>
      <c r="T23" s="595"/>
      <c r="U23" s="596"/>
      <c r="V23" s="596"/>
      <c r="W23" s="596"/>
      <c r="X23" s="596"/>
      <c r="Y23" s="597"/>
      <c r="Z23" s="598"/>
      <c r="AA23" s="599"/>
      <c r="AB23" s="598"/>
      <c r="AC23" s="600"/>
      <c r="AD23" s="601"/>
      <c r="AE23" s="602"/>
      <c r="AF23" s="603"/>
      <c r="AG23" s="589"/>
      <c r="AH23" s="638"/>
      <c r="AI23" s="647"/>
      <c r="AJ23" s="604"/>
      <c r="AK23" s="628"/>
      <c r="AL23" s="589"/>
      <c r="AM23" s="657"/>
      <c r="AN23" s="605"/>
      <c r="AO23" s="858"/>
      <c r="AP23" s="606"/>
      <c r="AQ23" s="606"/>
      <c r="AR23" s="606"/>
      <c r="AS23" s="595"/>
      <c r="AT23" s="606"/>
      <c r="AU23" s="607"/>
      <c r="AV23" s="607"/>
      <c r="AW23" s="607"/>
      <c r="AX23" s="597"/>
    </row>
    <row r="24" spans="1:50" x14ac:dyDescent="0.2">
      <c r="A24" s="393" t="s">
        <v>291</v>
      </c>
      <c r="B24" s="394"/>
      <c r="C24" s="395"/>
      <c r="D24" s="396"/>
      <c r="E24" s="397"/>
      <c r="F24" s="397"/>
      <c r="G24" s="398"/>
      <c r="H24" s="398"/>
      <c r="I24" s="399"/>
      <c r="J24" s="398"/>
      <c r="K24" s="399"/>
      <c r="L24" s="398"/>
      <c r="M24" s="400"/>
      <c r="N24" s="398"/>
      <c r="O24" s="401"/>
      <c r="P24" s="402"/>
      <c r="Q24" s="403"/>
      <c r="R24" s="404"/>
      <c r="S24" s="404"/>
      <c r="T24" s="404"/>
      <c r="U24" s="405"/>
      <c r="V24" s="405"/>
      <c r="W24" s="405"/>
      <c r="X24" s="405"/>
      <c r="Y24" s="406"/>
      <c r="Z24" s="407"/>
      <c r="AA24" s="408"/>
      <c r="AB24" s="407"/>
      <c r="AC24" s="409"/>
      <c r="AD24" s="410"/>
      <c r="AE24" s="411"/>
      <c r="AF24" s="412"/>
      <c r="AG24" s="398"/>
      <c r="AH24" s="639"/>
      <c r="AI24" s="648"/>
      <c r="AJ24" s="413"/>
      <c r="AK24" s="629"/>
      <c r="AL24" s="398"/>
      <c r="AM24" s="658"/>
      <c r="AN24" s="332"/>
      <c r="AO24" s="859"/>
      <c r="AP24" s="333"/>
      <c r="AQ24" s="333"/>
      <c r="AR24" s="333"/>
      <c r="AS24" s="327"/>
      <c r="AT24" s="330"/>
      <c r="AU24" s="331"/>
      <c r="AV24" s="331"/>
      <c r="AW24" s="331"/>
      <c r="AX24" s="328"/>
    </row>
    <row r="25" spans="1:50" x14ac:dyDescent="0.2">
      <c r="A25" s="295"/>
      <c r="B25" s="340"/>
      <c r="C25" s="341"/>
      <c r="D25" s="326"/>
      <c r="E25" s="46"/>
      <c r="F25" s="46"/>
      <c r="G25" s="147"/>
      <c r="H25" s="147"/>
      <c r="I25" s="148"/>
      <c r="J25" s="147"/>
      <c r="K25" s="148"/>
      <c r="L25" s="147"/>
      <c r="M25" s="56"/>
      <c r="N25" s="147"/>
      <c r="O25" s="59"/>
      <c r="P25" s="279"/>
      <c r="Q25" s="160"/>
      <c r="R25" s="149"/>
      <c r="S25" s="149"/>
      <c r="T25" s="149"/>
      <c r="U25" s="150"/>
      <c r="V25" s="150"/>
      <c r="W25" s="150"/>
      <c r="X25" s="150"/>
      <c r="Y25" s="151"/>
      <c r="Z25" s="143"/>
      <c r="AA25" s="144"/>
      <c r="AB25" s="143"/>
      <c r="AC25" s="145"/>
      <c r="AD25" s="146"/>
      <c r="AE25" s="276"/>
      <c r="AF25" s="152"/>
      <c r="AG25" s="147"/>
      <c r="AH25" s="636"/>
      <c r="AI25" s="645"/>
      <c r="AJ25" s="269"/>
      <c r="AK25" s="626"/>
      <c r="AL25" s="147"/>
      <c r="AM25" s="655"/>
      <c r="AN25" s="154"/>
      <c r="AO25" s="156"/>
      <c r="AP25" s="155"/>
      <c r="AQ25" s="155"/>
      <c r="AR25" s="155"/>
      <c r="AS25" s="149"/>
      <c r="AT25" s="155"/>
      <c r="AU25" s="157"/>
      <c r="AV25" s="157"/>
      <c r="AW25" s="157"/>
      <c r="AX25" s="151"/>
    </row>
    <row r="26" spans="1:50" x14ac:dyDescent="0.2">
      <c r="A26" s="363" t="s">
        <v>341</v>
      </c>
      <c r="B26" s="364"/>
      <c r="C26" s="365"/>
      <c r="D26" s="366"/>
      <c r="E26" s="367"/>
      <c r="F26" s="367"/>
      <c r="G26" s="368"/>
      <c r="H26" s="368"/>
      <c r="I26" s="369"/>
      <c r="J26" s="368"/>
      <c r="K26" s="369"/>
      <c r="L26" s="368"/>
      <c r="M26" s="370"/>
      <c r="N26" s="368"/>
      <c r="O26" s="371"/>
      <c r="P26" s="372"/>
      <c r="Q26" s="373"/>
      <c r="R26" s="374"/>
      <c r="S26" s="374"/>
      <c r="T26" s="374"/>
      <c r="U26" s="375"/>
      <c r="V26" s="375"/>
      <c r="W26" s="375"/>
      <c r="X26" s="375"/>
      <c r="Y26" s="376"/>
      <c r="Z26" s="377"/>
      <c r="AA26" s="378"/>
      <c r="AB26" s="377"/>
      <c r="AC26" s="379"/>
      <c r="AD26" s="380"/>
      <c r="AE26" s="381"/>
      <c r="AF26" s="382"/>
      <c r="AG26" s="368"/>
      <c r="AH26" s="637"/>
      <c r="AI26" s="646"/>
      <c r="AJ26" s="383"/>
      <c r="AK26" s="627"/>
      <c r="AL26" s="368"/>
      <c r="AM26" s="656"/>
      <c r="AN26" s="345"/>
      <c r="AO26" s="686"/>
      <c r="AP26" s="346"/>
      <c r="AQ26" s="346"/>
      <c r="AR26" s="346"/>
      <c r="AS26" s="346"/>
      <c r="AT26" s="336"/>
      <c r="AU26" s="337"/>
      <c r="AV26" s="337"/>
      <c r="AW26" s="337"/>
      <c r="AX26" s="335"/>
    </row>
    <row r="27" spans="1:50" x14ac:dyDescent="0.2">
      <c r="A27" s="584"/>
      <c r="B27" s="585"/>
      <c r="C27" s="586"/>
      <c r="D27" s="608"/>
      <c r="E27" s="589"/>
      <c r="F27" s="589"/>
      <c r="G27" s="589"/>
      <c r="H27" s="589"/>
      <c r="I27" s="590"/>
      <c r="J27" s="589"/>
      <c r="K27" s="590"/>
      <c r="L27" s="589"/>
      <c r="M27" s="590"/>
      <c r="N27" s="590"/>
      <c r="O27" s="590"/>
      <c r="P27" s="593"/>
      <c r="Q27" s="595"/>
      <c r="R27" s="595"/>
      <c r="S27" s="595"/>
      <c r="T27" s="595"/>
      <c r="U27" s="596"/>
      <c r="V27" s="596"/>
      <c r="W27" s="596"/>
      <c r="X27" s="596"/>
      <c r="Y27" s="597"/>
      <c r="Z27" s="598"/>
      <c r="AA27" s="599"/>
      <c r="AB27" s="598"/>
      <c r="AC27" s="600"/>
      <c r="AD27" s="601"/>
      <c r="AE27" s="602"/>
      <c r="AF27" s="603"/>
      <c r="AG27" s="589"/>
      <c r="AH27" s="638"/>
      <c r="AI27" s="647"/>
      <c r="AJ27" s="604"/>
      <c r="AK27" s="628"/>
      <c r="AL27" s="589"/>
      <c r="AM27" s="657"/>
      <c r="AN27" s="609"/>
      <c r="AO27" s="861"/>
      <c r="AP27" s="595"/>
      <c r="AQ27" s="595"/>
      <c r="AR27" s="595"/>
      <c r="AS27" s="595"/>
      <c r="AT27" s="595"/>
      <c r="AU27" s="596"/>
      <c r="AV27" s="596"/>
      <c r="AW27" s="596"/>
      <c r="AX27" s="597"/>
    </row>
    <row r="28" spans="1:50" x14ac:dyDescent="0.2">
      <c r="A28" s="393" t="s">
        <v>290</v>
      </c>
      <c r="B28" s="394"/>
      <c r="C28" s="395"/>
      <c r="D28" s="396"/>
      <c r="E28" s="397"/>
      <c r="F28" s="397"/>
      <c r="G28" s="398"/>
      <c r="H28" s="398"/>
      <c r="I28" s="399"/>
      <c r="J28" s="398"/>
      <c r="K28" s="399"/>
      <c r="L28" s="398"/>
      <c r="M28" s="400"/>
      <c r="N28" s="398"/>
      <c r="O28" s="401"/>
      <c r="P28" s="402"/>
      <c r="Q28" s="403"/>
      <c r="R28" s="404"/>
      <c r="S28" s="404"/>
      <c r="T28" s="404"/>
      <c r="U28" s="405"/>
      <c r="V28" s="405"/>
      <c r="W28" s="405"/>
      <c r="X28" s="405"/>
      <c r="Y28" s="406"/>
      <c r="Z28" s="407"/>
      <c r="AA28" s="408"/>
      <c r="AB28" s="407"/>
      <c r="AC28" s="409"/>
      <c r="AD28" s="410"/>
      <c r="AE28" s="411"/>
      <c r="AF28" s="412"/>
      <c r="AG28" s="398"/>
      <c r="AH28" s="639"/>
      <c r="AI28" s="648"/>
      <c r="AJ28" s="413"/>
      <c r="AK28" s="629"/>
      <c r="AL28" s="398"/>
      <c r="AM28" s="658"/>
      <c r="AN28" s="329"/>
      <c r="AO28" s="862"/>
      <c r="AP28" s="330"/>
      <c r="AQ28" s="330"/>
      <c r="AR28" s="330"/>
      <c r="AS28" s="327"/>
      <c r="AT28" s="330"/>
      <c r="AU28" s="331"/>
      <c r="AV28" s="331"/>
      <c r="AW28" s="331"/>
      <c r="AX28" s="328"/>
    </row>
    <row r="29" spans="1:50" x14ac:dyDescent="0.2">
      <c r="A29" s="334"/>
      <c r="B29" s="340"/>
      <c r="C29" s="341"/>
      <c r="D29" s="338"/>
      <c r="E29" s="46"/>
      <c r="F29" s="46"/>
      <c r="G29" s="147"/>
      <c r="H29" s="147"/>
      <c r="I29" s="148"/>
      <c r="J29" s="147"/>
      <c r="K29" s="148"/>
      <c r="L29" s="147"/>
      <c r="M29" s="56"/>
      <c r="N29" s="148"/>
      <c r="O29" s="56"/>
      <c r="P29" s="279"/>
      <c r="Q29" s="160"/>
      <c r="R29" s="149"/>
      <c r="S29" s="149"/>
      <c r="T29" s="149"/>
      <c r="U29" s="150"/>
      <c r="V29" s="150"/>
      <c r="W29" s="150"/>
      <c r="X29" s="150"/>
      <c r="Y29" s="151"/>
      <c r="Z29" s="143"/>
      <c r="AA29" s="144"/>
      <c r="AB29" s="143"/>
      <c r="AC29" s="145"/>
      <c r="AD29" s="146"/>
      <c r="AE29" s="276"/>
      <c r="AF29" s="152"/>
      <c r="AG29" s="147"/>
      <c r="AH29" s="636"/>
      <c r="AI29" s="645"/>
      <c r="AJ29" s="269"/>
      <c r="AK29" s="626"/>
      <c r="AL29" s="147"/>
      <c r="AM29" s="655"/>
      <c r="AN29" s="154"/>
      <c r="AO29" s="156"/>
      <c r="AP29" s="155"/>
      <c r="AQ29" s="155"/>
      <c r="AR29" s="155"/>
      <c r="AS29" s="149"/>
      <c r="AT29" s="155"/>
      <c r="AU29" s="157"/>
      <c r="AV29" s="157"/>
      <c r="AW29" s="157"/>
      <c r="AX29" s="151"/>
    </row>
    <row r="30" spans="1:50" ht="12" thickBot="1" x14ac:dyDescent="0.25">
      <c r="A30" s="297"/>
      <c r="B30" s="343"/>
      <c r="C30" s="344"/>
      <c r="D30" s="161"/>
      <c r="E30" s="161"/>
      <c r="F30" s="161"/>
      <c r="G30" s="161"/>
      <c r="H30" s="161"/>
      <c r="I30" s="162"/>
      <c r="J30" s="161"/>
      <c r="K30" s="162"/>
      <c r="L30" s="161"/>
      <c r="M30" s="162"/>
      <c r="N30" s="162"/>
      <c r="O30" s="162"/>
      <c r="P30" s="280"/>
      <c r="Q30" s="163"/>
      <c r="R30" s="163"/>
      <c r="S30" s="163"/>
      <c r="T30" s="163"/>
      <c r="U30" s="164"/>
      <c r="V30" s="164"/>
      <c r="W30" s="164"/>
      <c r="X30" s="164"/>
      <c r="Y30" s="165"/>
      <c r="Z30" s="166"/>
      <c r="AA30" s="167"/>
      <c r="AB30" s="166"/>
      <c r="AC30" s="168"/>
      <c r="AD30" s="169"/>
      <c r="AE30" s="278"/>
      <c r="AF30" s="171"/>
      <c r="AG30" s="161"/>
      <c r="AH30" s="640"/>
      <c r="AI30" s="649"/>
      <c r="AJ30" s="270"/>
      <c r="AK30" s="632"/>
      <c r="AL30" s="161"/>
      <c r="AM30" s="659"/>
      <c r="AN30" s="170"/>
      <c r="AO30" s="863"/>
      <c r="AP30" s="163"/>
      <c r="AQ30" s="163"/>
      <c r="AR30" s="163"/>
      <c r="AS30" s="163"/>
      <c r="AT30" s="163"/>
      <c r="AU30" s="164"/>
      <c r="AV30" s="164"/>
      <c r="AW30" s="164"/>
      <c r="AX30"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8"/>
  <sheetViews>
    <sheetView workbookViewId="0">
      <selection activeCell="C14" sqref="C14"/>
    </sheetView>
  </sheetViews>
  <sheetFormatPr defaultColWidth="9" defaultRowHeight="11.25" x14ac:dyDescent="0.15"/>
  <cols>
    <col min="1" max="1" width="9" style="742"/>
    <col min="2" max="2" width="10.125" style="742" bestFit="1" customWidth="1"/>
    <col min="3" max="3" width="62.125" style="742" customWidth="1"/>
    <col min="4" max="16384" width="9" style="742"/>
  </cols>
  <sheetData>
    <row r="1" spans="2:3" x14ac:dyDescent="0.15">
      <c r="B1" s="742" t="s">
        <v>509</v>
      </c>
      <c r="C1" s="742" t="s">
        <v>5</v>
      </c>
    </row>
    <row r="2" spans="2:3" ht="33.75" x14ac:dyDescent="0.15">
      <c r="B2" s="743">
        <v>44425</v>
      </c>
      <c r="C2" s="742" t="s">
        <v>511</v>
      </c>
    </row>
    <row r="3" spans="2:3" ht="12.75" customHeight="1" x14ac:dyDescent="0.15">
      <c r="B3" s="743">
        <v>44425</v>
      </c>
      <c r="C3" s="742" t="s">
        <v>510</v>
      </c>
    </row>
    <row r="4" spans="2:3" x14ac:dyDescent="0.15">
      <c r="B4" s="743">
        <v>44426</v>
      </c>
      <c r="C4" s="742" t="s">
        <v>513</v>
      </c>
    </row>
    <row r="5" spans="2:3" x14ac:dyDescent="0.15">
      <c r="B5" s="743">
        <v>44664</v>
      </c>
      <c r="C5" s="742" t="s">
        <v>514</v>
      </c>
    </row>
    <row r="6" spans="2:3" x14ac:dyDescent="0.15">
      <c r="B6" s="743">
        <v>44924</v>
      </c>
      <c r="C6" s="742" t="s">
        <v>515</v>
      </c>
    </row>
    <row r="7" spans="2:3" ht="22.5" x14ac:dyDescent="0.15">
      <c r="B7" s="743">
        <v>45047</v>
      </c>
      <c r="C7" s="742" t="s">
        <v>535</v>
      </c>
    </row>
    <row r="8" spans="2:3" x14ac:dyDescent="0.15">
      <c r="B8" s="743">
        <v>45275</v>
      </c>
      <c r="C8" s="742" t="s">
        <v>543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C6" sqref="C6"/>
    </sheetView>
  </sheetViews>
  <sheetFormatPr defaultColWidth="0" defaultRowHeight="11.25" zeroHeight="1" x14ac:dyDescent="0.15"/>
  <cols>
    <col min="1" max="1" width="0.75" customWidth="1"/>
    <col min="2" max="2" width="12.75" customWidth="1"/>
    <col min="3" max="3" width="96.75" style="610" customWidth="1"/>
    <col min="4" max="4" width="0.75" customWidth="1"/>
    <col min="5" max="16384" width="8.75" hidden="1"/>
  </cols>
  <sheetData>
    <row r="1" spans="1:4" ht="4.9000000000000004" customHeight="1" thickBot="1" x14ac:dyDescent="0.2">
      <c r="A1" s="622"/>
      <c r="B1" s="622"/>
      <c r="C1" s="611"/>
      <c r="D1" s="622"/>
    </row>
    <row r="2" spans="1:4" ht="12.75" x14ac:dyDescent="0.15">
      <c r="A2" s="622"/>
      <c r="B2" s="612" t="s">
        <v>342</v>
      </c>
      <c r="C2" s="613" t="s">
        <v>354</v>
      </c>
      <c r="D2" s="622"/>
    </row>
    <row r="3" spans="1:4" ht="58.9" customHeight="1" x14ac:dyDescent="0.2">
      <c r="A3" s="622"/>
      <c r="B3" s="614" t="s">
        <v>343</v>
      </c>
      <c r="C3" s="615" t="s">
        <v>344</v>
      </c>
      <c r="D3" s="622"/>
    </row>
    <row r="4" spans="1:4" ht="24" x14ac:dyDescent="0.2">
      <c r="A4" s="622"/>
      <c r="B4" s="616"/>
      <c r="C4" s="615" t="s">
        <v>345</v>
      </c>
      <c r="D4" s="622"/>
    </row>
    <row r="5" spans="1:4" ht="36" x14ac:dyDescent="0.15">
      <c r="A5" s="622"/>
      <c r="B5" s="617" t="s">
        <v>32</v>
      </c>
      <c r="C5" s="618" t="s">
        <v>346</v>
      </c>
      <c r="D5" s="622"/>
    </row>
    <row r="6" spans="1:4" ht="60" x14ac:dyDescent="0.15">
      <c r="A6" s="622"/>
      <c r="B6" s="619"/>
      <c r="C6" s="618" t="s">
        <v>347</v>
      </c>
      <c r="D6" s="622"/>
    </row>
    <row r="7" spans="1:4" ht="48" x14ac:dyDescent="0.15">
      <c r="A7" s="622"/>
      <c r="B7" s="619"/>
      <c r="C7" s="618" t="s">
        <v>348</v>
      </c>
      <c r="D7" s="622"/>
    </row>
    <row r="8" spans="1:4" ht="60" x14ac:dyDescent="0.2">
      <c r="A8" s="622"/>
      <c r="B8" s="614" t="s">
        <v>349</v>
      </c>
      <c r="C8" s="615" t="s">
        <v>350</v>
      </c>
      <c r="D8" s="622"/>
    </row>
    <row r="9" spans="1:4" ht="72" x14ac:dyDescent="0.2">
      <c r="A9" s="622"/>
      <c r="B9" s="616"/>
      <c r="C9" s="615" t="s">
        <v>351</v>
      </c>
      <c r="D9" s="622"/>
    </row>
    <row r="10" spans="1:4" ht="23.25" thickBot="1" x14ac:dyDescent="0.2">
      <c r="A10" s="622"/>
      <c r="B10" s="620" t="s">
        <v>352</v>
      </c>
      <c r="C10" s="621" t="s">
        <v>353</v>
      </c>
      <c r="D10" s="622"/>
    </row>
    <row r="11" spans="1:4" ht="4.9000000000000004" customHeight="1" x14ac:dyDescent="0.15">
      <c r="A11" s="622"/>
      <c r="B11" s="622"/>
      <c r="C11" s="611"/>
      <c r="D11" s="622"/>
    </row>
    <row r="12" spans="1:4" hidden="1" x14ac:dyDescent="0.15"/>
    <row r="13" spans="1:4" hidden="1" x14ac:dyDescent="0.15"/>
    <row r="14" spans="1:4" hidden="1" x14ac:dyDescent="0.15"/>
    <row r="15" spans="1:4" hidden="1" x14ac:dyDescent="0.15"/>
    <row r="16" spans="1:4" hidden="1" x14ac:dyDescent="0.1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5"/>
  <sheetViews>
    <sheetView workbookViewId="0">
      <selection activeCell="B4" sqref="B4"/>
    </sheetView>
  </sheetViews>
  <sheetFormatPr defaultColWidth="9" defaultRowHeight="11.25" x14ac:dyDescent="0.15"/>
  <cols>
    <col min="1" max="1" width="28.75" style="6" bestFit="1" customWidth="1"/>
    <col min="2" max="2" width="7.125" style="6" bestFit="1" customWidth="1"/>
    <col min="3" max="3" width="3.25" style="6" bestFit="1" customWidth="1"/>
    <col min="4" max="4" width="28.75" style="6" bestFit="1" customWidth="1"/>
    <col min="5" max="5" width="14.5" style="6" customWidth="1"/>
    <col min="6" max="6" width="8.5" style="6" customWidth="1"/>
    <col min="7" max="7" width="3.25" style="6" customWidth="1"/>
    <col min="8" max="8" width="29.375" style="6" bestFit="1" customWidth="1"/>
    <col min="9" max="9" width="7.625" style="6" bestFit="1" customWidth="1"/>
    <col min="10" max="10" width="7.125" style="6" customWidth="1"/>
    <col min="11" max="11" width="17" style="6" bestFit="1" customWidth="1"/>
    <col min="12" max="12" width="4" style="6" customWidth="1"/>
    <col min="13" max="13" width="17" style="6" customWidth="1"/>
    <col min="14" max="14" width="42" style="6" bestFit="1" customWidth="1"/>
    <col min="15" max="16" width="17" style="6" customWidth="1"/>
    <col min="17" max="17" width="2.375" style="6" customWidth="1"/>
    <col min="18" max="18" width="26.75" style="6" customWidth="1"/>
    <col min="19" max="19" width="10.25" style="6" bestFit="1" customWidth="1"/>
    <col min="20" max="20" width="15" style="6" customWidth="1"/>
    <col min="21" max="21" width="18.75" style="6" customWidth="1"/>
    <col min="22" max="23" width="6.625" style="6" bestFit="1" customWidth="1"/>
    <col min="24" max="24" width="24" style="3" bestFit="1" customWidth="1"/>
    <col min="25" max="25" width="24" style="3" customWidth="1"/>
    <col min="26" max="26" width="2.375" style="6" customWidth="1"/>
    <col min="27" max="27" width="50.75" style="6" bestFit="1" customWidth="1"/>
    <col min="28" max="31" width="9" style="3"/>
    <col min="32" max="32" width="11.25" style="6" customWidth="1"/>
    <col min="33" max="33" width="24" style="3" customWidth="1"/>
    <col min="34" max="34" width="11.25" style="6" customWidth="1"/>
    <col min="35" max="16384" width="9" style="6"/>
  </cols>
  <sheetData>
    <row r="1" spans="1:35" ht="38.65" customHeight="1" x14ac:dyDescent="0.15">
      <c r="A1" s="493" t="s">
        <v>304</v>
      </c>
      <c r="B1" s="494"/>
      <c r="C1" s="494"/>
      <c r="D1" s="494"/>
      <c r="E1" s="494"/>
      <c r="F1" s="494"/>
      <c r="G1" s="494"/>
      <c r="H1" s="494"/>
      <c r="I1" s="494"/>
      <c r="J1" s="494"/>
      <c r="K1" s="494"/>
      <c r="L1" s="494"/>
      <c r="M1" s="494"/>
      <c r="N1" s="495" t="s">
        <v>302</v>
      </c>
      <c r="O1" s="496"/>
      <c r="P1" s="496"/>
      <c r="Q1" s="497"/>
      <c r="R1" s="497"/>
      <c r="S1" s="497"/>
      <c r="T1" s="497"/>
      <c r="U1" s="497"/>
      <c r="V1" s="497"/>
      <c r="W1" s="497"/>
      <c r="X1" s="497"/>
      <c r="Y1" s="497"/>
      <c r="Z1" s="497"/>
      <c r="AA1" s="497"/>
      <c r="AB1" s="497"/>
      <c r="AC1" s="497"/>
      <c r="AD1" s="497"/>
      <c r="AE1" s="497"/>
      <c r="AF1" s="497"/>
      <c r="AG1" s="497"/>
      <c r="AH1" s="498"/>
    </row>
    <row r="2" spans="1:35" s="4" customFormat="1" ht="33.75" x14ac:dyDescent="0.2">
      <c r="A2" s="499" t="s">
        <v>3</v>
      </c>
      <c r="B2" s="423" t="s">
        <v>4</v>
      </c>
      <c r="C2" s="921" t="s">
        <v>139</v>
      </c>
      <c r="D2" s="922"/>
      <c r="E2" s="424"/>
      <c r="F2" s="424"/>
      <c r="G2" s="425" t="s">
        <v>142</v>
      </c>
      <c r="H2" s="426"/>
      <c r="I2" s="426"/>
      <c r="J2" s="426"/>
      <c r="K2" s="427"/>
      <c r="L2" s="921" t="s">
        <v>497</v>
      </c>
      <c r="M2" s="925"/>
      <c r="N2" s="923" t="s">
        <v>303</v>
      </c>
      <c r="O2" s="923"/>
      <c r="P2" s="924"/>
      <c r="Q2" s="479"/>
      <c r="R2" s="480" t="s">
        <v>9</v>
      </c>
      <c r="S2" s="481" t="s">
        <v>0</v>
      </c>
      <c r="T2" s="482" t="s">
        <v>13</v>
      </c>
      <c r="U2" s="483" t="s">
        <v>76</v>
      </c>
      <c r="V2" s="482"/>
      <c r="W2" s="484"/>
      <c r="X2" s="485" t="s">
        <v>15</v>
      </c>
      <c r="Y2" s="486" t="s">
        <v>75</v>
      </c>
      <c r="Z2" s="682"/>
      <c r="AA2" s="487" t="s">
        <v>16</v>
      </c>
      <c r="AB2" s="488" t="s">
        <v>18</v>
      </c>
      <c r="AC2" s="485" t="s">
        <v>301</v>
      </c>
      <c r="AD2" s="485" t="s">
        <v>299</v>
      </c>
      <c r="AE2" s="485" t="s">
        <v>300</v>
      </c>
      <c r="AF2" s="487" t="s">
        <v>22</v>
      </c>
      <c r="AG2" s="486" t="s">
        <v>50</v>
      </c>
      <c r="AH2" s="500" t="s">
        <v>156</v>
      </c>
      <c r="AI2" s="414"/>
    </row>
    <row r="3" spans="1:35" s="9" customFormat="1" x14ac:dyDescent="0.2">
      <c r="A3" s="501" t="s">
        <v>2</v>
      </c>
      <c r="B3" s="452">
        <v>45383</v>
      </c>
      <c r="C3" s="428" t="s">
        <v>297</v>
      </c>
      <c r="D3" s="426" t="s">
        <v>296</v>
      </c>
      <c r="E3" s="426" t="s">
        <v>3</v>
      </c>
      <c r="F3" s="426" t="s">
        <v>4</v>
      </c>
      <c r="G3" s="428" t="s">
        <v>297</v>
      </c>
      <c r="H3" s="426" t="s">
        <v>296</v>
      </c>
      <c r="I3" s="426" t="s">
        <v>3</v>
      </c>
      <c r="J3" s="426" t="s">
        <v>4</v>
      </c>
      <c r="K3" s="727" t="s">
        <v>288</v>
      </c>
      <c r="L3" s="430" t="s">
        <v>297</v>
      </c>
      <c r="M3" s="429" t="s">
        <v>390</v>
      </c>
      <c r="N3" s="429" t="s">
        <v>5</v>
      </c>
      <c r="O3" s="431" t="s">
        <v>3</v>
      </c>
      <c r="P3" s="431" t="s">
        <v>4</v>
      </c>
      <c r="Q3" s="489"/>
      <c r="R3" s="420">
        <v>2</v>
      </c>
      <c r="S3" s="490"/>
      <c r="T3" s="415">
        <v>4500</v>
      </c>
      <c r="U3" s="918">
        <v>2</v>
      </c>
      <c r="V3" s="919"/>
      <c r="W3" s="920"/>
      <c r="X3" s="418">
        <v>3</v>
      </c>
      <c r="Y3" s="419">
        <v>2</v>
      </c>
      <c r="Z3" s="489"/>
      <c r="AA3" s="420">
        <v>1</v>
      </c>
      <c r="AB3" s="491"/>
      <c r="AC3" s="492"/>
      <c r="AD3" s="492"/>
      <c r="AE3" s="418">
        <v>0</v>
      </c>
      <c r="AF3" s="421">
        <v>20</v>
      </c>
      <c r="AG3" s="422">
        <v>2</v>
      </c>
      <c r="AH3" s="502">
        <v>0</v>
      </c>
    </row>
    <row r="4" spans="1:35" x14ac:dyDescent="0.2">
      <c r="A4" s="503" t="s">
        <v>6</v>
      </c>
      <c r="B4" s="453" t="s">
        <v>540</v>
      </c>
      <c r="C4" s="432">
        <f>IF(AH2&lt;&gt;"",1,0)</f>
        <v>1</v>
      </c>
      <c r="D4" s="441"/>
      <c r="E4" s="441"/>
      <c r="F4" s="441"/>
      <c r="G4" s="433">
        <f ca="1">IF(OR(AND(ParBAL1&lt;&gt;"",ISNUMBER(FIND(ParBAL1,K4))),AND(ParBAL2&lt;&gt;"",ISNUMBER(FIND(ParBAL2,K4)))),1,0)</f>
        <v>0</v>
      </c>
      <c r="H4" s="434" t="s">
        <v>140</v>
      </c>
      <c r="I4" s="435" t="s">
        <v>169</v>
      </c>
      <c r="J4" s="436">
        <v>36463</v>
      </c>
      <c r="K4" s="726" t="s">
        <v>285</v>
      </c>
      <c r="L4" s="730">
        <f ca="1">IF(INDIRECT(CONCATENATE($M4,"!AF4"))="",0,1)</f>
        <v>1</v>
      </c>
      <c r="M4" s="437" t="s">
        <v>486</v>
      </c>
      <c r="N4" s="437" t="s">
        <v>308</v>
      </c>
      <c r="O4" s="438" t="s">
        <v>21</v>
      </c>
      <c r="P4" s="439">
        <f ca="1">IF(Geldig,IF(Eisen!$F$9&lt;&gt;"",Eisen!$F$9,$AE$3),"")</f>
        <v>0</v>
      </c>
      <c r="Q4" s="454"/>
      <c r="R4" s="455" t="str">
        <f ca="1">INDEX(R5:R29,R$3)</f>
        <v>Stoomketel</v>
      </c>
      <c r="S4" s="459">
        <f>INDEX(S5:S29,R$3)</f>
        <v>1</v>
      </c>
      <c r="T4" s="456"/>
      <c r="U4" s="455" t="str">
        <f ca="1">INDEX(U5:U29,U$3)</f>
        <v>vanaf 1-4-10 t/m 31-12-12</v>
      </c>
      <c r="V4" s="472"/>
      <c r="W4" s="472"/>
      <c r="X4" s="457" t="str">
        <f ca="1">INDEX(X5:X7,X3)</f>
        <v>&gt;1500 uur/jaar</v>
      </c>
      <c r="Y4" s="457" t="str">
        <f ca="1">IF(OR(MW&gt;=50,AND(ParBAL="4.126",SI=4,MW&lt;=5)),INDEX(Y5:Y7,Y3),"")</f>
        <v/>
      </c>
      <c r="Z4" s="454"/>
      <c r="AA4" s="458" t="str">
        <f ca="1">IF(Geldig,INDEX(AA5:AA32,BRAND1),"")</f>
        <v>Aardgas</v>
      </c>
      <c r="AB4" s="526"/>
      <c r="AC4" s="460"/>
      <c r="AD4" s="460"/>
      <c r="AE4" s="459"/>
      <c r="AF4" s="517" t="str">
        <f ca="1">IF(ABRAND2=0,"",INDEX(AA5:AA32,MAX(1,BRAND2)))</f>
        <v/>
      </c>
      <c r="AG4" s="457" t="str">
        <f ca="1">INDEX(AG5:AG7,AG3)</f>
        <v/>
      </c>
      <c r="AH4" s="504"/>
    </row>
    <row r="5" spans="1:35" x14ac:dyDescent="0.2">
      <c r="A5" s="505"/>
      <c r="B5" s="441"/>
      <c r="C5" s="432">
        <f>IF(D5&lt;&gt;"",C4+1,-ABS(C4))</f>
        <v>2</v>
      </c>
      <c r="D5" s="441" t="s">
        <v>92</v>
      </c>
      <c r="E5" s="440" t="s">
        <v>91</v>
      </c>
      <c r="F5" s="679">
        <f ca="1">IF(AH3=0,MAX(NOW(),IWTBAL),IWTBAL+(AH3-1)*91)</f>
        <v>45292</v>
      </c>
      <c r="G5" s="433">
        <f t="shared" ref="G5:G31" ca="1" si="0">IF(OR(AND(ParBAL1&lt;&gt;"",ISNUMBER(FIND(ParBAL1,K5))),AND(ParBAL2&lt;&gt;"",ISNUMBER(FIND(ParBAL2,K5)))),ABS(G4)+1,-ABS(G4))</f>
        <v>1</v>
      </c>
      <c r="H5" s="441" t="s">
        <v>216</v>
      </c>
      <c r="I5" s="442" t="s">
        <v>238</v>
      </c>
      <c r="J5" s="436">
        <v>40269</v>
      </c>
      <c r="K5" s="726" t="s">
        <v>286</v>
      </c>
      <c r="L5" s="730">
        <f ca="1">IF(INDIRECT(CONCATENATE($M5,"!AF4"))="",-ABS(L4),ABS(L4)+1)</f>
        <v>-1</v>
      </c>
      <c r="M5" s="437" t="s">
        <v>383</v>
      </c>
      <c r="N5" s="437" t="s">
        <v>309</v>
      </c>
      <c r="O5" s="438" t="s">
        <v>281</v>
      </c>
      <c r="P5" s="439" t="b">
        <f ca="1">IF(OR(SUM(Regelgeving!$B$7:$C$8,Regelgeving!B11:C11)&gt;0,AND(AG5&lt;&gt;"",Doel=1)),TRUE,FALSE)</f>
        <v>0</v>
      </c>
      <c r="Q5" s="461">
        <v>1</v>
      </c>
      <c r="R5" s="462" t="str">
        <f ca="1">IF(Geldig,"Verwarmings- of warmwaterketel","")</f>
        <v>Verwarmings- of warmwaterketel</v>
      </c>
      <c r="S5" s="465">
        <v>1</v>
      </c>
      <c r="T5" s="472">
        <v>0</v>
      </c>
      <c r="U5" s="463" t="str">
        <f ca="1">IF(Geldig,CONCATENATE("t/m ",DAY(W5),"-",MONTH(W5),"-",IF(YEAR(W5)&gt;2000,YEAR(W5)-2000,YEAR(W5)-1900)),"")</f>
        <v>t/m 31-3-10</v>
      </c>
      <c r="V5" s="664"/>
      <c r="W5" s="665">
        <f ca="1">IF(ISNUMBER(V6),V6-1,"")</f>
        <v>40268</v>
      </c>
      <c r="X5" s="464" t="str">
        <f ca="1">IF(Geldig,IF(Regelgeving!AF4="4.4","","&lt;500 uur/jaar"),"")</f>
        <v>&lt;500 uur/jaar</v>
      </c>
      <c r="Y5" s="465" t="str">
        <f ca="1">IF(Geldig,IF(OR(MW&gt;=50,AND(ParBAL="4.126",SI=4,MW&lt;=5)),"ja",""),"")</f>
        <v/>
      </c>
      <c r="Z5" s="461">
        <v>1</v>
      </c>
      <c r="AA5" s="466" t="str">
        <f ca="1">IF(Geldig,"Aardgas","")</f>
        <v>Aardgas</v>
      </c>
      <c r="AB5" s="465">
        <v>1</v>
      </c>
      <c r="AC5" s="464">
        <f t="shared" ref="AC5:AC12" ca="1" si="1">IF(TSI&lt;0,15,3)</f>
        <v>3</v>
      </c>
      <c r="AD5" s="465" t="s">
        <v>185</v>
      </c>
      <c r="AE5" s="467"/>
      <c r="AF5" s="468" t="str">
        <f t="shared" ref="AF5:AF32" ca="1" si="2">IF(ABRAND2&gt;0,AA5,"")</f>
        <v/>
      </c>
      <c r="AG5" s="464" t="str">
        <f ca="1">IF(AND(BRAND1&lt;&gt;23,BRAND2&lt;&gt;23,OR(TBRAND1=3,TBRAND2=3)),IF(OR(AND(ABRAND2&lt;60,BRAND1=26),AND(ABRAND2&gt;40,BRAND2=26),SI=17,SI=16),"","Vernietiging van afval"),"")</f>
        <v/>
      </c>
      <c r="AH5" s="506"/>
    </row>
    <row r="6" spans="1:35" x14ac:dyDescent="0.2">
      <c r="A6" s="505"/>
      <c r="B6" s="441"/>
      <c r="C6" s="432">
        <f t="shared" ref="C6:C31" si="3">IF(D6&lt;&gt;"",C5+1,-ABS(C5))</f>
        <v>3</v>
      </c>
      <c r="D6" s="441" t="s">
        <v>143</v>
      </c>
      <c r="E6" s="442" t="s">
        <v>155</v>
      </c>
      <c r="F6" s="680" t="str">
        <f ca="1">CONCATENATE(DAY(Tdatum),"-",MONTH(Tdatum),"-",YEAR(Tdatum))</f>
        <v>1-1-2024</v>
      </c>
      <c r="G6" s="433">
        <f t="shared" ca="1" si="0"/>
        <v>2</v>
      </c>
      <c r="H6" s="441" t="s">
        <v>93</v>
      </c>
      <c r="I6" s="442" t="s">
        <v>234</v>
      </c>
      <c r="J6" s="436">
        <v>41275</v>
      </c>
      <c r="K6" s="726" t="s">
        <v>106</v>
      </c>
      <c r="L6" s="730">
        <f t="shared" ref="L6:L16" ca="1" si="4">IF(INDIRECT(CONCATENATE($M6,"!AF4"))="",-ABS(L5),ABS(L5)+1)</f>
        <v>-1</v>
      </c>
      <c r="M6" s="437" t="s">
        <v>390</v>
      </c>
      <c r="N6" s="437" t="s">
        <v>310</v>
      </c>
      <c r="O6" s="438" t="s">
        <v>17</v>
      </c>
      <c r="P6" s="439">
        <f ca="1">IF(Geldig,$AA$3,"")</f>
        <v>1</v>
      </c>
      <c r="Q6" s="461">
        <f>Q5+1</f>
        <v>2</v>
      </c>
      <c r="R6" s="462" t="str">
        <f ca="1">IF(Geldig,"Stoomketel","")</f>
        <v>Stoomketel</v>
      </c>
      <c r="S6" s="465">
        <v>1</v>
      </c>
      <c r="T6" s="472">
        <v>1</v>
      </c>
      <c r="U6" s="463" t="str">
        <f t="shared" ref="U6" ca="1" si="5">IF(OR(W5=0,W5="",U5=""),"",CONCATENATE("vanaf ",DAY(V6),"-",MONTH(V6),"-",IF(YEAR(V6)&gt;2000,YEAR(V6)-2000,YEAR(V6)-1900),IF(OR(W6=0,W6=""),"",CONCATENATE(" t/m ",DAY(W6),"-",MONTH(W6),"-",IF(YEAR(W6)&gt;2000,YEAR(W6)-2000,YEAR(W6)-1900)))))</f>
        <v>vanaf 1-4-10 t/m 31-12-12</v>
      </c>
      <c r="V6" s="666">
        <f ca="1">IF(ISNUMBER(VLOOKUP(T6,$G$3:$J$30,4,FALSE)),VLOOKUP(T6,$G$3:$J$30,4,FALSE),V5)</f>
        <v>40269</v>
      </c>
      <c r="W6" s="667">
        <f t="shared" ref="W6:W13" ca="1" si="6">IF(ISNUMBER(V7),V7-1,"")</f>
        <v>41274</v>
      </c>
      <c r="X6" s="464" t="str">
        <f ca="1">IF(Geldig,IF(Regelgeving!AF4="4.4","",IF(AND(TSI=-1,Regelgeving!AF4="4.3"),"&lt;500 uur/jaar (geen noodvoorziening)",IF(SI=5,"&lt;500 uur/jaar (met levering aan het net als openbaar net beschikbaar is)","500-1500 uur/jaar"))),"")</f>
        <v>500-1500 uur/jaar</v>
      </c>
      <c r="Y6" s="465" t="str">
        <f ca="1">IF(Geldig,IF(OR(MW&gt;=50,AND(ParBAL="4.126",SI=4,MW&lt;=5)),"nee",""),"")</f>
        <v/>
      </c>
      <c r="Z6" s="461">
        <f>Z5+1</f>
        <v>2</v>
      </c>
      <c r="AA6" s="466" t="str">
        <f ca="1">IF(Geldig,"Waterstof","")</f>
        <v>Waterstof</v>
      </c>
      <c r="AB6" s="828">
        <f ca="1">IF(Tdatum&lt;IWTH2,2,1)</f>
        <v>2</v>
      </c>
      <c r="AC6" s="464">
        <f t="shared" ca="1" si="1"/>
        <v>3</v>
      </c>
      <c r="AD6" s="465" t="s">
        <v>185</v>
      </c>
      <c r="AE6" s="467"/>
      <c r="AF6" s="468" t="str">
        <f t="shared" ca="1" si="2"/>
        <v/>
      </c>
      <c r="AG6" s="464" t="str">
        <f ca="1">IF(AND(BRAND1&lt;&gt;23,BRAND2&lt;&gt;23,OR(TBRAND1=3,TBRAND2=3)),IF(OR(AND(ABRAND2&lt;60,BRAND1=26),AND(ABRAND2&gt;40,BRAND2=26),SI=17,SI=16),"","Energie-opwekking uit afval"),"")</f>
        <v/>
      </c>
      <c r="AH6" s="506"/>
    </row>
    <row r="7" spans="1:35" x14ac:dyDescent="0.2">
      <c r="A7" s="505"/>
      <c r="B7" s="441"/>
      <c r="C7" s="432">
        <f t="shared" si="3"/>
        <v>4</v>
      </c>
      <c r="D7" s="441" t="s">
        <v>141</v>
      </c>
      <c r="E7" s="443" t="s">
        <v>101</v>
      </c>
      <c r="F7" s="681">
        <f ca="1">IF(MW&lt;1,DATE(2022,6,30),IF(MW&gt;5,DATE(2025,1,1),DATE(2030,1,1)))</f>
        <v>45658</v>
      </c>
      <c r="G7" s="433">
        <f t="shared" ca="1" si="0"/>
        <v>3</v>
      </c>
      <c r="H7" s="434" t="s">
        <v>95</v>
      </c>
      <c r="I7" s="435" t="s">
        <v>235</v>
      </c>
      <c r="J7" s="436">
        <v>42005</v>
      </c>
      <c r="K7" s="726" t="s">
        <v>106</v>
      </c>
      <c r="L7" s="730">
        <f t="shared" ca="1" si="4"/>
        <v>-1</v>
      </c>
      <c r="M7" s="437" t="s">
        <v>446</v>
      </c>
      <c r="N7" s="437" t="s">
        <v>311</v>
      </c>
      <c r="O7" s="438" t="s">
        <v>23</v>
      </c>
      <c r="P7" s="439" t="str">
        <f ca="1">IF(Geldig,IF(ABRAND2=0,"",$AF$3),"")</f>
        <v/>
      </c>
      <c r="Q7" s="461">
        <f t="shared" ref="Q7:Q29" si="7">Q6+1</f>
        <v>3</v>
      </c>
      <c r="R7" s="462" t="str">
        <f ca="1">IF(Geldig,"Gasturbine incl STEG","")</f>
        <v>Gasturbine incl STEG</v>
      </c>
      <c r="S7" s="465">
        <v>-1</v>
      </c>
      <c r="T7" s="472">
        <f>T6+1</f>
        <v>2</v>
      </c>
      <c r="U7" s="463" t="str">
        <f t="shared" ref="U7:U29" ca="1" si="8">IF(OR(W6=0,W6="",U6=""),"",CONCATENATE("vanaf ",DAY(V7),"-",MONTH(V7),"-",IF(YEAR(V7)&gt;2000,YEAR(V7)-2000,YEAR(V7)-1900),IF(OR(W7=0,W7=""),"",CONCATENATE(" t/m ",DAY(W7),"-",MONTH(W7),"-",IF(YEAR(W7)&gt;2000,YEAR(W7)-2000,YEAR(W7)-1900)))))</f>
        <v>vanaf 1-1-13 t/m 31-12-14</v>
      </c>
      <c r="V7" s="666">
        <f ca="1">IF(ISNUMBER(VLOOKUP(T7,$G$3:$J$30,4,FALSE)),VLOOKUP(T7,$G$3:$J$30,4,FALSE),"")</f>
        <v>41275</v>
      </c>
      <c r="W7" s="667">
        <f t="shared" ca="1" si="6"/>
        <v>42004</v>
      </c>
      <c r="X7" s="459" t="str">
        <f ca="1">IF(Geldig,IF(Regelgeving!AF4="4.4","",IF(LEFT(X6,4)="&lt;500","&gt;500 uur/jaar","&gt;1500 uur/jaar")),"")</f>
        <v>&gt;1500 uur/jaar</v>
      </c>
      <c r="Y7" s="459"/>
      <c r="Z7" s="461">
        <f t="shared" ref="Z7:Z32" si="9">Z6+1</f>
        <v>3</v>
      </c>
      <c r="AA7" s="466" t="str">
        <f ca="1">IF(Geldig,"Vergistingsgas uit organisch materiaal (biogas)","")</f>
        <v>Vergistingsgas uit organisch materiaal (biogas)</v>
      </c>
      <c r="AB7" s="465">
        <v>1</v>
      </c>
      <c r="AC7" s="464">
        <f t="shared" ca="1" si="1"/>
        <v>3</v>
      </c>
      <c r="AD7" s="465" t="s">
        <v>185</v>
      </c>
      <c r="AE7" s="467"/>
      <c r="AF7" s="468" t="str">
        <f t="shared" ca="1" si="2"/>
        <v/>
      </c>
      <c r="AG7" s="459"/>
      <c r="AH7" s="506" t="str">
        <f ca="1">Regelgeving!AC5</f>
        <v/>
      </c>
    </row>
    <row r="8" spans="1:35" x14ac:dyDescent="0.2">
      <c r="A8" s="505"/>
      <c r="B8" s="441"/>
      <c r="C8" s="432">
        <f t="shared" si="3"/>
        <v>5</v>
      </c>
      <c r="D8" s="441" t="s">
        <v>143</v>
      </c>
      <c r="E8" s="443" t="s">
        <v>248</v>
      </c>
      <c r="F8" s="680" t="str">
        <f ca="1">CONCATENATE(DAY(IWTMCPbest),"-",MONTH(IWTMCPbest),"-",YEAR(IWTMCPbest))</f>
        <v>1-1-2025</v>
      </c>
      <c r="G8" s="433">
        <f t="shared" ca="1" si="0"/>
        <v>-3</v>
      </c>
      <c r="H8" s="674" t="s">
        <v>361</v>
      </c>
      <c r="I8" s="674"/>
      <c r="J8" s="675">
        <v>42964</v>
      </c>
      <c r="K8" s="674" t="s">
        <v>40</v>
      </c>
      <c r="L8" s="731">
        <f t="shared" ca="1" si="4"/>
        <v>-1</v>
      </c>
      <c r="M8" s="739" t="s">
        <v>414</v>
      </c>
      <c r="N8" s="437" t="s">
        <v>312</v>
      </c>
      <c r="O8" s="438" t="s">
        <v>53</v>
      </c>
      <c r="P8" s="439" t="b">
        <f ca="1">IF(Regelgeving!$AL$4="ja",TRUE,FALSE)</f>
        <v>0</v>
      </c>
      <c r="Q8" s="461">
        <f t="shared" si="7"/>
        <v>4</v>
      </c>
      <c r="R8" s="462" t="str">
        <f ca="1">IF(Geldig,"Gasmotor of dual fuel motor (vonkontsteking)","")</f>
        <v>Gasmotor of dual fuel motor (vonkontsteking)</v>
      </c>
      <c r="S8" s="465">
        <v>-1</v>
      </c>
      <c r="T8" s="472">
        <f t="shared" ref="T8:T29" si="10">T7+1</f>
        <v>3</v>
      </c>
      <c r="U8" s="463" t="str">
        <f t="shared" ca="1" si="8"/>
        <v>vanaf 1-1-15 t/m 19-12-18</v>
      </c>
      <c r="V8" s="469">
        <f t="shared" ref="V8:V14" ca="1" si="11">IF(ISNUMBER(VLOOKUP(T8,$G$3:$J$30,4,FALSE)),VLOOKUP(T8,$G$3:$J$30,4,FALSE),"")</f>
        <v>42005</v>
      </c>
      <c r="W8" s="470">
        <f t="shared" ca="1" si="6"/>
        <v>43453</v>
      </c>
      <c r="X8" s="507"/>
      <c r="Y8" s="507"/>
      <c r="Z8" s="461">
        <f t="shared" si="9"/>
        <v>4</v>
      </c>
      <c r="AA8" s="466" t="str">
        <f ca="1">IF(Geldig,"Propaangas","")</f>
        <v>Propaangas</v>
      </c>
      <c r="AB8" s="465">
        <v>1</v>
      </c>
      <c r="AC8" s="464">
        <f t="shared" ca="1" si="1"/>
        <v>3</v>
      </c>
      <c r="AD8" s="465" t="s">
        <v>185</v>
      </c>
      <c r="AE8" s="467"/>
      <c r="AF8" s="468" t="str">
        <f t="shared" ca="1" si="2"/>
        <v/>
      </c>
      <c r="AG8" s="507"/>
      <c r="AH8" s="506"/>
    </row>
    <row r="9" spans="1:35" x14ac:dyDescent="0.2">
      <c r="A9" s="505"/>
      <c r="B9" s="441"/>
      <c r="C9" s="432">
        <f t="shared" si="3"/>
        <v>6</v>
      </c>
      <c r="D9" s="441" t="s">
        <v>96</v>
      </c>
      <c r="E9" s="443" t="s">
        <v>103</v>
      </c>
      <c r="F9" s="679">
        <v>44425</v>
      </c>
      <c r="G9" s="433">
        <f t="shared" ca="1" si="0"/>
        <v>4</v>
      </c>
      <c r="H9" s="441" t="s">
        <v>94</v>
      </c>
      <c r="I9" s="443" t="s">
        <v>99</v>
      </c>
      <c r="J9" s="436">
        <v>43454</v>
      </c>
      <c r="K9" s="726" t="s">
        <v>286</v>
      </c>
      <c r="L9" s="730">
        <f t="shared" ca="1" si="4"/>
        <v>-1</v>
      </c>
      <c r="M9" s="437" t="s">
        <v>466</v>
      </c>
      <c r="N9" s="437" t="s">
        <v>313</v>
      </c>
      <c r="O9" s="438" t="s">
        <v>51</v>
      </c>
      <c r="P9" s="439">
        <f>$AG$3</f>
        <v>2</v>
      </c>
      <c r="Q9" s="461">
        <f t="shared" si="7"/>
        <v>5</v>
      </c>
      <c r="R9" s="462" t="str">
        <f ca="1">IF(Geldig,"Dieselmotor (compressie-ontsteking)","")</f>
        <v>Dieselmotor (compressie-ontsteking)</v>
      </c>
      <c r="S9" s="465">
        <v>-1</v>
      </c>
      <c r="T9" s="472">
        <f t="shared" si="10"/>
        <v>4</v>
      </c>
      <c r="U9" s="463" t="str">
        <f t="shared" ca="1" si="8"/>
        <v>vanaf 20-12-18 t/m 31-12-23</v>
      </c>
      <c r="V9" s="469">
        <f t="shared" ca="1" si="11"/>
        <v>43454</v>
      </c>
      <c r="W9" s="470">
        <f t="shared" ca="1" si="6"/>
        <v>45291</v>
      </c>
      <c r="X9" s="507"/>
      <c r="Y9" s="507"/>
      <c r="Z9" s="461">
        <f t="shared" si="9"/>
        <v>5</v>
      </c>
      <c r="AA9" s="466" t="str">
        <f ca="1">IF(Geldig,"Butaangas","")</f>
        <v>Butaangas</v>
      </c>
      <c r="AB9" s="465">
        <v>1</v>
      </c>
      <c r="AC9" s="464">
        <f t="shared" ca="1" si="1"/>
        <v>3</v>
      </c>
      <c r="AD9" s="465" t="s">
        <v>185</v>
      </c>
      <c r="AE9" s="467"/>
      <c r="AF9" s="468" t="str">
        <f t="shared" ca="1" si="2"/>
        <v/>
      </c>
      <c r="AG9" s="507"/>
      <c r="AH9" s="506"/>
    </row>
    <row r="10" spans="1:35" x14ac:dyDescent="0.2">
      <c r="A10" s="505"/>
      <c r="B10" s="441"/>
      <c r="C10" s="444">
        <f t="shared" si="3"/>
        <v>7</v>
      </c>
      <c r="D10" s="441" t="s">
        <v>143</v>
      </c>
      <c r="E10" s="443" t="s">
        <v>249</v>
      </c>
      <c r="F10" s="680" t="str">
        <f>CONCATENATE(DAY(IWTLCPbest),"-",MONTH(IWTLCPbest),"-",YEAR(IWTLCPbest))</f>
        <v>17-8-2021</v>
      </c>
      <c r="G10" s="444">
        <f t="shared" ca="1" si="0"/>
        <v>-4</v>
      </c>
      <c r="H10" s="674" t="s">
        <v>362</v>
      </c>
      <c r="I10" s="443" t="s">
        <v>100</v>
      </c>
      <c r="J10" s="436">
        <v>43694</v>
      </c>
      <c r="K10" s="726" t="s">
        <v>40</v>
      </c>
      <c r="L10" s="730">
        <f t="shared" ca="1" si="4"/>
        <v>-1</v>
      </c>
      <c r="M10" s="437" t="s">
        <v>487</v>
      </c>
      <c r="N10" s="437" t="s">
        <v>314</v>
      </c>
      <c r="O10" s="438" t="s">
        <v>289</v>
      </c>
      <c r="P10" s="439" t="b">
        <f ca="1">IF(AND($AG$5&lt;&gt;"",Doel=2),TRUE,FALSE)</f>
        <v>0</v>
      </c>
      <c r="Q10" s="461">
        <f t="shared" si="7"/>
        <v>6</v>
      </c>
      <c r="R10" s="471" t="str">
        <f ca="1">IF(Geldig,"Procesfornuis","")</f>
        <v>Procesfornuis</v>
      </c>
      <c r="S10" s="465">
        <v>2</v>
      </c>
      <c r="T10" s="472">
        <f t="shared" si="10"/>
        <v>5</v>
      </c>
      <c r="U10" s="463" t="str">
        <f t="shared" ca="1" si="8"/>
        <v>vanaf 1-1-24</v>
      </c>
      <c r="V10" s="469">
        <f t="shared" ca="1" si="11"/>
        <v>45292</v>
      </c>
      <c r="W10" s="470" t="str">
        <f t="shared" ca="1" si="6"/>
        <v/>
      </c>
      <c r="X10" s="507"/>
      <c r="Y10" s="507"/>
      <c r="Z10" s="461">
        <f t="shared" si="9"/>
        <v>6</v>
      </c>
      <c r="AA10" s="466" t="str">
        <f ca="1">IF(Geldig,"Gasolie, lichte en halfzware olie (bv. HBO, diesel)","")</f>
        <v>Gasolie, lichte en halfzware olie (bv. HBO, diesel)</v>
      </c>
      <c r="AB10" s="465">
        <v>1</v>
      </c>
      <c r="AC10" s="464">
        <f t="shared" ca="1" si="1"/>
        <v>3</v>
      </c>
      <c r="AD10" s="465" t="s">
        <v>186</v>
      </c>
      <c r="AE10" s="467"/>
      <c r="AF10" s="468" t="str">
        <f t="shared" ca="1" si="2"/>
        <v/>
      </c>
      <c r="AG10" s="507"/>
      <c r="AH10" s="506"/>
    </row>
    <row r="11" spans="1:35" x14ac:dyDescent="0.2">
      <c r="A11" s="505"/>
      <c r="B11" s="441"/>
      <c r="C11" s="444">
        <f t="shared" si="3"/>
        <v>8</v>
      </c>
      <c r="D11" s="441" t="s">
        <v>97</v>
      </c>
      <c r="E11" s="443" t="s">
        <v>98</v>
      </c>
      <c r="F11" s="679">
        <v>45292</v>
      </c>
      <c r="G11" s="445">
        <f t="shared" ca="1" si="0"/>
        <v>-4</v>
      </c>
      <c r="H11" s="441" t="s">
        <v>439</v>
      </c>
      <c r="I11" s="441"/>
      <c r="J11" s="436">
        <v>43781</v>
      </c>
      <c r="K11" s="726" t="s">
        <v>39</v>
      </c>
      <c r="L11" s="730">
        <f t="shared" ca="1" si="4"/>
        <v>-1</v>
      </c>
      <c r="M11" s="437" t="s">
        <v>477</v>
      </c>
      <c r="N11" s="441" t="s">
        <v>315</v>
      </c>
      <c r="O11" s="446" t="s">
        <v>7</v>
      </c>
      <c r="P11" s="447" t="b">
        <f ca="1">IF(VALUE(B3)&lt;NOW(),FALSE,TRUE)</f>
        <v>1</v>
      </c>
      <c r="Q11" s="461">
        <f t="shared" si="7"/>
        <v>7</v>
      </c>
      <c r="R11" s="471" t="str">
        <f ca="1">IF(Geldig,"Thermische olie ketel","")</f>
        <v>Thermische olie ketel</v>
      </c>
      <c r="S11" s="465">
        <v>2</v>
      </c>
      <c r="T11" s="472">
        <f t="shared" si="10"/>
        <v>6</v>
      </c>
      <c r="U11" s="463" t="str">
        <f t="shared" ca="1" si="8"/>
        <v/>
      </c>
      <c r="V11" s="469" t="str">
        <f t="shared" ca="1" si="11"/>
        <v/>
      </c>
      <c r="W11" s="470" t="str">
        <f t="shared" ca="1" si="6"/>
        <v/>
      </c>
      <c r="X11" s="507"/>
      <c r="Y11" s="507"/>
      <c r="Z11" s="461">
        <f t="shared" si="9"/>
        <v>7</v>
      </c>
      <c r="AA11" s="466" t="str">
        <f ca="1">IF(Geldig,"Biodiesel die voldoet aan NEN-EN 14214","")</f>
        <v>Biodiesel die voldoet aan NEN-EN 14214</v>
      </c>
      <c r="AB11" s="465">
        <v>-1</v>
      </c>
      <c r="AC11" s="464">
        <f t="shared" ca="1" si="1"/>
        <v>3</v>
      </c>
      <c r="AD11" s="465" t="s">
        <v>186</v>
      </c>
      <c r="AE11" s="467"/>
      <c r="AF11" s="468" t="str">
        <f t="shared" ca="1" si="2"/>
        <v/>
      </c>
      <c r="AG11" s="507"/>
      <c r="AH11" s="506"/>
    </row>
    <row r="12" spans="1:35" x14ac:dyDescent="0.2">
      <c r="A12" s="505"/>
      <c r="B12" s="441"/>
      <c r="C12" s="444">
        <f t="shared" si="3"/>
        <v>9</v>
      </c>
      <c r="D12" s="441" t="s">
        <v>143</v>
      </c>
      <c r="E12" s="443" t="s">
        <v>104</v>
      </c>
      <c r="F12" s="680" t="str">
        <f>CONCATENATE(DAY(IWTBAL),"-",MONTH(IWTBAL),"-",YEAR(IWTBAL))</f>
        <v>1-1-2024</v>
      </c>
      <c r="G12" s="445">
        <f t="shared" ca="1" si="0"/>
        <v>5</v>
      </c>
      <c r="H12" s="441" t="str">
        <f>$D$11</f>
        <v>Datum IWT BAL</v>
      </c>
      <c r="I12" s="443"/>
      <c r="J12" s="436">
        <f>IWTBAL</f>
        <v>45292</v>
      </c>
      <c r="K12" s="726" t="s">
        <v>287</v>
      </c>
      <c r="L12" s="730">
        <f t="shared" ca="1" si="4"/>
        <v>-1</v>
      </c>
      <c r="M12" s="437" t="s">
        <v>415</v>
      </c>
      <c r="N12" s="738" t="s">
        <v>316</v>
      </c>
      <c r="O12" s="438" t="s">
        <v>166</v>
      </c>
      <c r="P12" s="439" t="str">
        <f ca="1">IF(Geldig,INDEX($AD$5:$AD$32,BRAND1),"")</f>
        <v>g</v>
      </c>
      <c r="Q12" s="461">
        <f t="shared" si="7"/>
        <v>8</v>
      </c>
      <c r="R12" s="471" t="str">
        <f ca="1">IF(Geldig,"Glycolfornuis","")</f>
        <v>Glycolfornuis</v>
      </c>
      <c r="S12" s="465">
        <v>2</v>
      </c>
      <c r="T12" s="472">
        <f t="shared" si="10"/>
        <v>7</v>
      </c>
      <c r="U12" s="463" t="str">
        <f t="shared" ca="1" si="8"/>
        <v/>
      </c>
      <c r="V12" s="469" t="str">
        <f t="shared" ca="1" si="11"/>
        <v/>
      </c>
      <c r="W12" s="470" t="str">
        <f t="shared" ca="1" si="6"/>
        <v/>
      </c>
      <c r="X12" s="507"/>
      <c r="Y12" s="507"/>
      <c r="Z12" s="461">
        <f t="shared" si="9"/>
        <v>8</v>
      </c>
      <c r="AA12" s="466" t="str">
        <f ca="1">IF(Geldig,"Vloeibare Rie-biomassa","")</f>
        <v>Vloeibare Rie-biomassa</v>
      </c>
      <c r="AB12" s="465">
        <f ca="1">IF(MW&lt;15,-1,2)</f>
        <v>-1</v>
      </c>
      <c r="AC12" s="464">
        <f t="shared" ca="1" si="1"/>
        <v>3</v>
      </c>
      <c r="AD12" s="465" t="s">
        <v>186</v>
      </c>
      <c r="AE12" s="467"/>
      <c r="AF12" s="468" t="str">
        <f t="shared" ca="1" si="2"/>
        <v/>
      </c>
      <c r="AG12" s="507"/>
      <c r="AH12" s="506"/>
    </row>
    <row r="13" spans="1:35" x14ac:dyDescent="0.2">
      <c r="A13" s="505"/>
      <c r="B13" s="441"/>
      <c r="C13" s="444">
        <f t="shared" si="3"/>
        <v>10</v>
      </c>
      <c r="D13" s="441" t="s">
        <v>478</v>
      </c>
      <c r="E13" s="443" t="s">
        <v>479</v>
      </c>
      <c r="F13" s="679">
        <v>45242</v>
      </c>
      <c r="G13" s="445">
        <f t="shared" ca="1" si="0"/>
        <v>-5</v>
      </c>
      <c r="H13" s="723"/>
      <c r="I13" s="723"/>
      <c r="J13" s="724"/>
      <c r="K13" s="728"/>
      <c r="L13" s="734">
        <f t="shared" ca="1" si="4"/>
        <v>-1</v>
      </c>
      <c r="M13" s="735" t="s">
        <v>488</v>
      </c>
      <c r="N13" s="738" t="s">
        <v>500</v>
      </c>
      <c r="O13" s="438" t="s">
        <v>167</v>
      </c>
      <c r="P13" s="439">
        <f ca="1">IF(Geldig,IF(OR(ABRAND2=0,BRAND2=0),0,INDEX($AD$5:$AD$32,BRAND2)),"")</f>
        <v>0</v>
      </c>
      <c r="Q13" s="461">
        <f t="shared" si="7"/>
        <v>9</v>
      </c>
      <c r="R13" s="471" t="str">
        <f ca="1">IF(Geldig,"Overige indirect gestookte installaties","")</f>
        <v>Overige indirect gestookte installaties</v>
      </c>
      <c r="S13" s="465">
        <v>2</v>
      </c>
      <c r="T13" s="472">
        <f t="shared" si="10"/>
        <v>8</v>
      </c>
      <c r="U13" s="466" t="str">
        <f t="shared" ca="1" si="8"/>
        <v/>
      </c>
      <c r="V13" s="472" t="str">
        <f t="shared" ca="1" si="11"/>
        <v/>
      </c>
      <c r="W13" s="473" t="str">
        <f t="shared" ca="1" si="6"/>
        <v/>
      </c>
      <c r="X13" s="507"/>
      <c r="Y13" s="507"/>
      <c r="Z13" s="461">
        <f t="shared" si="9"/>
        <v>9</v>
      </c>
      <c r="AA13" s="466" t="str">
        <f ca="1">IF(Geldig,"Vaste Rie-biomassa","")</f>
        <v>Vaste Rie-biomassa</v>
      </c>
      <c r="AB13" s="465">
        <f ca="1">IF(MW&lt;15,-1,2)</f>
        <v>-1</v>
      </c>
      <c r="AC13" s="464">
        <f ca="1">IF(TSI&lt;0,15,6)</f>
        <v>6</v>
      </c>
      <c r="AD13" s="465" t="s">
        <v>187</v>
      </c>
      <c r="AE13" s="467"/>
      <c r="AF13" s="468" t="str">
        <f t="shared" ca="1" si="2"/>
        <v/>
      </c>
      <c r="AG13" s="507"/>
      <c r="AH13" s="506"/>
    </row>
    <row r="14" spans="1:35" x14ac:dyDescent="0.15">
      <c r="A14" s="505"/>
      <c r="B14" s="441"/>
      <c r="C14" s="444">
        <f t="shared" si="3"/>
        <v>11</v>
      </c>
      <c r="D14" s="441" t="s">
        <v>529</v>
      </c>
      <c r="E14" s="443" t="s">
        <v>530</v>
      </c>
      <c r="F14" s="679">
        <v>45658</v>
      </c>
      <c r="G14" s="445">
        <f t="shared" ca="1" si="0"/>
        <v>-5</v>
      </c>
      <c r="H14" s="668"/>
      <c r="I14" s="668"/>
      <c r="J14" s="668"/>
      <c r="K14" s="668"/>
      <c r="L14" s="736">
        <f t="shared" ca="1" si="4"/>
        <v>-1</v>
      </c>
      <c r="M14" s="737" t="s">
        <v>489</v>
      </c>
      <c r="N14" s="441" t="s">
        <v>317</v>
      </c>
      <c r="O14" s="438" t="s">
        <v>78</v>
      </c>
      <c r="P14" s="448">
        <f ca="1">IF(INDEX($V$5:$V$31,$U$3)=0,"",INDEX($V$5:$V$31,$U$3))</f>
        <v>40269</v>
      </c>
      <c r="Q14" s="461">
        <f t="shared" si="7"/>
        <v>10</v>
      </c>
      <c r="R14" s="462" t="str">
        <f ca="1">IF(Geldig,"Oven (direct gestookt)","")</f>
        <v>Oven (direct gestookt)</v>
      </c>
      <c r="S14" s="465">
        <v>3</v>
      </c>
      <c r="T14" s="472">
        <f t="shared" si="10"/>
        <v>9</v>
      </c>
      <c r="U14" s="466" t="str">
        <f t="shared" ca="1" si="8"/>
        <v/>
      </c>
      <c r="V14" s="472" t="str">
        <f t="shared" ca="1" si="11"/>
        <v/>
      </c>
      <c r="W14" s="473" t="str">
        <f ca="1">IF(ISNUMBER(V29),V29-1,"")</f>
        <v/>
      </c>
      <c r="X14" s="507"/>
      <c r="Y14" s="507"/>
      <c r="Z14" s="461">
        <f t="shared" si="9"/>
        <v>10</v>
      </c>
      <c r="AA14" s="466" t="str">
        <f ca="1">IF(Geldig,"Pellets vervaardigd uit Rie-biomassa","")</f>
        <v>Pellets vervaardigd uit Rie-biomassa</v>
      </c>
      <c r="AB14" s="465">
        <f ca="1">IF(MW&lt;15,-1,2)</f>
        <v>-1</v>
      </c>
      <c r="AC14" s="464">
        <f ca="1">IF(TSI&lt;0,15,6)</f>
        <v>6</v>
      </c>
      <c r="AD14" s="465" t="s">
        <v>187</v>
      </c>
      <c r="AE14" s="467"/>
      <c r="AF14" s="468" t="str">
        <f t="shared" ca="1" si="2"/>
        <v/>
      </c>
      <c r="AG14" s="507"/>
      <c r="AH14" s="506"/>
    </row>
    <row r="15" spans="1:35" x14ac:dyDescent="0.15">
      <c r="A15" s="505"/>
      <c r="B15" s="441"/>
      <c r="C15" s="444">
        <f t="shared" si="3"/>
        <v>-11</v>
      </c>
      <c r="D15" s="668"/>
      <c r="E15" s="668"/>
      <c r="F15" s="677"/>
      <c r="G15" s="445">
        <f t="shared" ca="1" si="0"/>
        <v>-5</v>
      </c>
      <c r="H15" s="668"/>
      <c r="I15" s="668"/>
      <c r="J15" s="668"/>
      <c r="K15" s="668"/>
      <c r="L15" s="736">
        <f t="shared" ca="1" si="4"/>
        <v>-1</v>
      </c>
      <c r="M15" s="737" t="s">
        <v>438</v>
      </c>
      <c r="N15" s="441" t="s">
        <v>318</v>
      </c>
      <c r="O15" s="438" t="s">
        <v>79</v>
      </c>
      <c r="P15" s="448">
        <f ca="1">IF(INDEX($W$5:$W$31,$U$3)=0,"",INDEX($W$5:$W$31,$U$3))</f>
        <v>41274</v>
      </c>
      <c r="Q15" s="461">
        <f t="shared" si="7"/>
        <v>11</v>
      </c>
      <c r="R15" s="462" t="str">
        <f ca="1">IF(Geldig,"Droger (direct gestookt)","")</f>
        <v>Droger (direct gestookt)</v>
      </c>
      <c r="S15" s="465">
        <v>3</v>
      </c>
      <c r="T15" s="472">
        <f t="shared" si="10"/>
        <v>10</v>
      </c>
      <c r="U15" s="466" t="str">
        <f t="shared" ca="1" si="8"/>
        <v/>
      </c>
      <c r="V15" s="472"/>
      <c r="W15" s="473" t="str">
        <f t="shared" ref="W15:W29" si="12">IF(ISNUMBER(V30),V30-1,"")</f>
        <v/>
      </c>
      <c r="X15" s="507"/>
      <c r="Y15" s="507"/>
      <c r="Z15" s="461">
        <f t="shared" si="9"/>
        <v>11</v>
      </c>
      <c r="AA15" s="466" t="str">
        <f ca="1">IF(Geldig,"Vloeibaar gemaakt gas","")</f>
        <v>Vloeibaar gemaakt gas</v>
      </c>
      <c r="AB15" s="465">
        <v>2</v>
      </c>
      <c r="AC15" s="464">
        <f t="shared" ref="AC15:AC24" ca="1" si="13">IF(TSI&lt;0,15,3)</f>
        <v>3</v>
      </c>
      <c r="AD15" s="465" t="s">
        <v>185</v>
      </c>
      <c r="AE15" s="467"/>
      <c r="AF15" s="468" t="str">
        <f t="shared" ca="1" si="2"/>
        <v/>
      </c>
      <c r="AG15" s="507"/>
      <c r="AH15" s="506"/>
    </row>
    <row r="16" spans="1:35" x14ac:dyDescent="0.15">
      <c r="A16" s="505"/>
      <c r="B16" s="441"/>
      <c r="C16" s="444">
        <f t="shared" si="3"/>
        <v>-11</v>
      </c>
      <c r="D16" s="668"/>
      <c r="E16" s="668"/>
      <c r="F16" s="677"/>
      <c r="G16" s="445">
        <f t="shared" ca="1" si="0"/>
        <v>-5</v>
      </c>
      <c r="H16" s="668"/>
      <c r="I16" s="668"/>
      <c r="J16" s="668"/>
      <c r="K16" s="668"/>
      <c r="L16" s="736">
        <f t="shared" ca="1" si="4"/>
        <v>-1</v>
      </c>
      <c r="M16" s="737" t="s">
        <v>492</v>
      </c>
      <c r="N16" s="738" t="s">
        <v>13</v>
      </c>
      <c r="O16" s="438" t="s">
        <v>11</v>
      </c>
      <c r="P16" s="439">
        <f ca="1">IF(Geldig,IF(ISNUMBER(Eisen!$F$7),Eisen!$F$7,(1+($T$3-TRUNC($T$3/900)*900)/100)*10^(TRUNC($T$3/900)-4)),"")</f>
        <v>10</v>
      </c>
      <c r="Q16" s="461">
        <f t="shared" si="7"/>
        <v>12</v>
      </c>
      <c r="R16" s="462" t="str">
        <f ca="1">IF(Geldig,"Luchtverhitter (direct gestookt)","")</f>
        <v>Luchtverhitter (direct gestookt)</v>
      </c>
      <c r="S16" s="465">
        <v>3</v>
      </c>
      <c r="T16" s="472">
        <f t="shared" si="10"/>
        <v>11</v>
      </c>
      <c r="U16" s="466" t="str">
        <f t="shared" ca="1" si="8"/>
        <v/>
      </c>
      <c r="V16" s="472"/>
      <c r="W16" s="473" t="str">
        <f t="shared" si="12"/>
        <v/>
      </c>
      <c r="X16" s="507"/>
      <c r="Y16" s="507"/>
      <c r="Z16" s="461">
        <f t="shared" si="9"/>
        <v>12</v>
      </c>
      <c r="AA16" s="466" t="str">
        <f ca="1">IF(Geldig,"Cokesovengas","")</f>
        <v>Cokesovengas</v>
      </c>
      <c r="AB16" s="465">
        <v>2</v>
      </c>
      <c r="AC16" s="464">
        <f t="shared" ca="1" si="13"/>
        <v>3</v>
      </c>
      <c r="AD16" s="465" t="s">
        <v>185</v>
      </c>
      <c r="AE16" s="467"/>
      <c r="AF16" s="468" t="str">
        <f t="shared" ca="1" si="2"/>
        <v/>
      </c>
      <c r="AG16" s="507"/>
      <c r="AH16" s="506"/>
    </row>
    <row r="17" spans="1:34" x14ac:dyDescent="0.15">
      <c r="A17" s="505"/>
      <c r="B17" s="441"/>
      <c r="C17" s="444">
        <f t="shared" si="3"/>
        <v>-11</v>
      </c>
      <c r="D17" s="668"/>
      <c r="E17" s="668"/>
      <c r="F17" s="677"/>
      <c r="G17" s="445">
        <f t="shared" ca="1" si="0"/>
        <v>-5</v>
      </c>
      <c r="H17" s="668"/>
      <c r="I17" s="668"/>
      <c r="J17" s="668"/>
      <c r="K17" s="668"/>
      <c r="L17" s="732"/>
      <c r="M17" s="670"/>
      <c r="N17" s="738" t="s">
        <v>319</v>
      </c>
      <c r="O17" s="438" t="s">
        <v>20</v>
      </c>
      <c r="P17" s="439">
        <f ca="1">IF(Geldig,IF(SI=17,10,IF(Afvalvernietiging,11,INDEX($AC$5:$AC$32,$AA$3))),"")</f>
        <v>3</v>
      </c>
      <c r="Q17" s="461">
        <f t="shared" si="7"/>
        <v>13</v>
      </c>
      <c r="R17" s="462" t="str">
        <f ca="1">IF(Geldig,"Kachel","")</f>
        <v>Kachel</v>
      </c>
      <c r="S17" s="465">
        <v>3</v>
      </c>
      <c r="T17" s="472">
        <f t="shared" si="10"/>
        <v>12</v>
      </c>
      <c r="U17" s="466" t="str">
        <f t="shared" ca="1" si="8"/>
        <v/>
      </c>
      <c r="V17" s="472"/>
      <c r="W17" s="473" t="str">
        <f t="shared" si="12"/>
        <v/>
      </c>
      <c r="X17" s="507"/>
      <c r="Y17" s="507"/>
      <c r="Z17" s="461">
        <f t="shared" si="9"/>
        <v>13</v>
      </c>
      <c r="AA17" s="466" t="str">
        <f ca="1">IF(Geldig,"Hoogovengas","")</f>
        <v>Hoogovengas</v>
      </c>
      <c r="AB17" s="465">
        <v>2</v>
      </c>
      <c r="AC17" s="464">
        <f t="shared" ca="1" si="13"/>
        <v>3</v>
      </c>
      <c r="AD17" s="465" t="s">
        <v>185</v>
      </c>
      <c r="AE17" s="467"/>
      <c r="AF17" s="468" t="str">
        <f t="shared" ca="1" si="2"/>
        <v/>
      </c>
      <c r="AG17" s="507"/>
      <c r="AH17" s="506"/>
    </row>
    <row r="18" spans="1:34" x14ac:dyDescent="0.15">
      <c r="A18" s="505"/>
      <c r="B18" s="441"/>
      <c r="C18" s="444">
        <f t="shared" si="3"/>
        <v>-11</v>
      </c>
      <c r="D18" s="668"/>
      <c r="E18" s="668"/>
      <c r="F18" s="677"/>
      <c r="G18" s="445">
        <f t="shared" ca="1" si="0"/>
        <v>-5</v>
      </c>
      <c r="H18" s="668"/>
      <c r="I18" s="668"/>
      <c r="J18" s="668"/>
      <c r="K18" s="668"/>
      <c r="L18" s="732"/>
      <c r="M18" s="670"/>
      <c r="N18" s="738" t="s">
        <v>320</v>
      </c>
      <c r="O18" s="438" t="s">
        <v>25</v>
      </c>
      <c r="P18" s="439">
        <f ca="1">IF(Geldig,IF(SI=17,10,IF(Afvalvernietiging,11,INDEX($AC$5:$AC$32,$AF$3))),"")</f>
        <v>3</v>
      </c>
      <c r="Q18" s="461">
        <f t="shared" si="7"/>
        <v>14</v>
      </c>
      <c r="R18" s="471" t="str">
        <f ca="1">IF(Geldig,"Overige direct gestookte installaties","")</f>
        <v>Overige direct gestookte installaties</v>
      </c>
      <c r="S18" s="465">
        <v>3</v>
      </c>
      <c r="T18" s="472">
        <f t="shared" si="10"/>
        <v>13</v>
      </c>
      <c r="U18" s="466" t="str">
        <f t="shared" ca="1" si="8"/>
        <v/>
      </c>
      <c r="V18" s="472"/>
      <c r="W18" s="473" t="str">
        <f t="shared" si="12"/>
        <v/>
      </c>
      <c r="X18" s="507"/>
      <c r="Y18" s="507"/>
      <c r="Z18" s="461">
        <f t="shared" si="9"/>
        <v>14</v>
      </c>
      <c r="AA18" s="466" t="str">
        <f ca="1">IF(Geldig,"Laag calorisch raffinaderijgas","")</f>
        <v>Laag calorisch raffinaderijgas</v>
      </c>
      <c r="AB18" s="465">
        <v>2</v>
      </c>
      <c r="AC18" s="464">
        <f t="shared" ca="1" si="13"/>
        <v>3</v>
      </c>
      <c r="AD18" s="465" t="s">
        <v>185</v>
      </c>
      <c r="AE18" s="467"/>
      <c r="AF18" s="468" t="str">
        <f t="shared" ca="1" si="2"/>
        <v/>
      </c>
      <c r="AG18" s="507"/>
      <c r="AH18" s="506"/>
    </row>
    <row r="19" spans="1:34" x14ac:dyDescent="0.15">
      <c r="A19" s="505"/>
      <c r="B19" s="441"/>
      <c r="C19" s="444">
        <f t="shared" si="3"/>
        <v>-11</v>
      </c>
      <c r="D19" s="668"/>
      <c r="E19" s="668"/>
      <c r="F19" s="677"/>
      <c r="G19" s="445">
        <f t="shared" ca="1" si="0"/>
        <v>-5</v>
      </c>
      <c r="H19" s="668"/>
      <c r="I19" s="668"/>
      <c r="J19" s="668"/>
      <c r="K19" s="668"/>
      <c r="L19" s="732"/>
      <c r="M19" s="670"/>
      <c r="N19" s="738" t="s">
        <v>321</v>
      </c>
      <c r="O19" s="438" t="s">
        <v>75</v>
      </c>
      <c r="P19" s="439" t="b">
        <f>IF($Y$3=1,TRUE,FALSE)</f>
        <v>0</v>
      </c>
      <c r="Q19" s="461">
        <f t="shared" si="7"/>
        <v>15</v>
      </c>
      <c r="R19" s="471" t="str">
        <f ca="1">IF(Geldig,"Fakkel/thermische naverbrander","")</f>
        <v>Fakkel/thermische naverbrander</v>
      </c>
      <c r="S19" s="465">
        <v>3</v>
      </c>
      <c r="T19" s="472">
        <f t="shared" si="10"/>
        <v>14</v>
      </c>
      <c r="U19" s="466" t="str">
        <f t="shared" ca="1" si="8"/>
        <v/>
      </c>
      <c r="V19" s="472"/>
      <c r="W19" s="473" t="str">
        <f t="shared" si="12"/>
        <v/>
      </c>
      <c r="X19" s="507"/>
      <c r="Y19" s="507"/>
      <c r="Z19" s="461">
        <f t="shared" si="9"/>
        <v>15</v>
      </c>
      <c r="AA19" s="466" t="str">
        <f ca="1">IF(Geldig,"Gereinigd vergassingsgas of vergassingsgas uit biomassa","")</f>
        <v>Gereinigd vergassingsgas of vergassingsgas uit biomassa</v>
      </c>
      <c r="AB19" s="465">
        <v>2</v>
      </c>
      <c r="AC19" s="464">
        <f t="shared" ca="1" si="13"/>
        <v>3</v>
      </c>
      <c r="AD19" s="465" t="s">
        <v>185</v>
      </c>
      <c r="AE19" s="467"/>
      <c r="AF19" s="468" t="str">
        <f t="shared" ca="1" si="2"/>
        <v/>
      </c>
      <c r="AG19" s="507"/>
      <c r="AH19" s="506"/>
    </row>
    <row r="20" spans="1:34" x14ac:dyDescent="0.15">
      <c r="A20" s="505"/>
      <c r="B20" s="441"/>
      <c r="C20" s="444">
        <f t="shared" si="3"/>
        <v>-11</v>
      </c>
      <c r="D20" s="668"/>
      <c r="E20" s="668"/>
      <c r="F20" s="677"/>
      <c r="G20" s="445">
        <f t="shared" ca="1" si="0"/>
        <v>-5</v>
      </c>
      <c r="H20" s="668"/>
      <c r="I20" s="668"/>
      <c r="J20" s="668"/>
      <c r="K20" s="668"/>
      <c r="L20" s="732"/>
      <c r="M20" s="670"/>
      <c r="N20" s="738" t="s">
        <v>322</v>
      </c>
      <c r="O20" s="438" t="s">
        <v>90</v>
      </c>
      <c r="P20" s="449" t="str">
        <f ca="1">Regelgeving!$AF$4</f>
        <v>4.126</v>
      </c>
      <c r="Q20" s="461">
        <f t="shared" si="7"/>
        <v>16</v>
      </c>
      <c r="R20" s="471" t="str">
        <f ca="1">IF(Geldig,"Afvalverbrandingsinstallatie","")</f>
        <v>Afvalverbrandingsinstallatie</v>
      </c>
      <c r="S20" s="465">
        <v>3</v>
      </c>
      <c r="T20" s="472">
        <f t="shared" si="10"/>
        <v>15</v>
      </c>
      <c r="U20" s="466" t="str">
        <f t="shared" ca="1" si="8"/>
        <v/>
      </c>
      <c r="V20" s="472"/>
      <c r="W20" s="473" t="str">
        <f t="shared" si="12"/>
        <v/>
      </c>
      <c r="X20" s="507"/>
      <c r="Y20" s="507"/>
      <c r="Z20" s="461">
        <f t="shared" si="9"/>
        <v>16</v>
      </c>
      <c r="AA20" s="466" t="str">
        <f ca="1">IF(Geldig,"Andere procesgassen","")</f>
        <v>Andere procesgassen</v>
      </c>
      <c r="AB20" s="465">
        <v>2</v>
      </c>
      <c r="AC20" s="464">
        <f t="shared" ca="1" si="13"/>
        <v>3</v>
      </c>
      <c r="AD20" s="465" t="s">
        <v>185</v>
      </c>
      <c r="AE20" s="467"/>
      <c r="AF20" s="468" t="str">
        <f t="shared" ca="1" si="2"/>
        <v/>
      </c>
      <c r="AG20" s="507"/>
      <c r="AH20" s="506"/>
    </row>
    <row r="21" spans="1:34" x14ac:dyDescent="0.15">
      <c r="A21" s="505"/>
      <c r="B21" s="441"/>
      <c r="C21" s="444">
        <f t="shared" si="3"/>
        <v>-11</v>
      </c>
      <c r="D21" s="668"/>
      <c r="E21" s="668"/>
      <c r="F21" s="677"/>
      <c r="G21" s="445">
        <f t="shared" ca="1" si="0"/>
        <v>-5</v>
      </c>
      <c r="H21" s="668"/>
      <c r="I21" s="668"/>
      <c r="J21" s="668"/>
      <c r="K21" s="668"/>
      <c r="L21" s="732"/>
      <c r="M21" s="670"/>
      <c r="N21" s="738" t="s">
        <v>323</v>
      </c>
      <c r="O21" s="438" t="s">
        <v>43</v>
      </c>
      <c r="P21" s="449" t="str">
        <f ca="1">Regelgeving!$AF$5</f>
        <v>4.126</v>
      </c>
      <c r="Q21" s="461">
        <f t="shared" si="7"/>
        <v>17</v>
      </c>
      <c r="R21" s="471" t="str">
        <f ca="1">IF(Geldig,"Cementoven waarin afval wordt verbrand","")</f>
        <v>Cementoven waarin afval wordt verbrand</v>
      </c>
      <c r="S21" s="465">
        <v>3</v>
      </c>
      <c r="T21" s="472">
        <f t="shared" si="10"/>
        <v>16</v>
      </c>
      <c r="U21" s="466" t="str">
        <f t="shared" ca="1" si="8"/>
        <v/>
      </c>
      <c r="V21" s="472"/>
      <c r="W21" s="473" t="str">
        <f t="shared" si="12"/>
        <v/>
      </c>
      <c r="X21" s="507"/>
      <c r="Y21" s="507"/>
      <c r="Z21" s="461">
        <f t="shared" si="9"/>
        <v>17</v>
      </c>
      <c r="AA21" s="466" t="str">
        <f ca="1">IF(Geldig,"Overige gasvormige brandstoffen","")</f>
        <v>Overige gasvormige brandstoffen</v>
      </c>
      <c r="AB21" s="465">
        <v>2</v>
      </c>
      <c r="AC21" s="464">
        <f t="shared" ca="1" si="13"/>
        <v>3</v>
      </c>
      <c r="AD21" s="465" t="s">
        <v>185</v>
      </c>
      <c r="AE21" s="467"/>
      <c r="AF21" s="468" t="str">
        <f t="shared" ca="1" si="2"/>
        <v/>
      </c>
      <c r="AG21" s="507"/>
      <c r="AH21" s="506"/>
    </row>
    <row r="22" spans="1:34" x14ac:dyDescent="0.15">
      <c r="A22" s="505"/>
      <c r="B22" s="441"/>
      <c r="C22" s="444">
        <f t="shared" si="3"/>
        <v>-11</v>
      </c>
      <c r="D22" s="668"/>
      <c r="E22" s="668"/>
      <c r="F22" s="677"/>
      <c r="G22" s="445">
        <f t="shared" ca="1" si="0"/>
        <v>-5</v>
      </c>
      <c r="H22" s="668"/>
      <c r="I22" s="668"/>
      <c r="J22" s="668"/>
      <c r="K22" s="668"/>
      <c r="L22" s="732"/>
      <c r="M22" s="670"/>
      <c r="N22" s="738" t="s">
        <v>324</v>
      </c>
      <c r="O22" s="438" t="s">
        <v>42</v>
      </c>
      <c r="P22" s="439" t="str">
        <f ca="1">Regelgeving!$AF$6</f>
        <v/>
      </c>
      <c r="Q22" s="461">
        <f t="shared" si="7"/>
        <v>18</v>
      </c>
      <c r="R22" s="471"/>
      <c r="S22" s="465"/>
      <c r="T22" s="472">
        <f t="shared" si="10"/>
        <v>17</v>
      </c>
      <c r="U22" s="466" t="str">
        <f t="shared" ca="1" si="8"/>
        <v/>
      </c>
      <c r="V22" s="472"/>
      <c r="W22" s="473" t="str">
        <f t="shared" si="12"/>
        <v/>
      </c>
      <c r="X22" s="507"/>
      <c r="Y22" s="507"/>
      <c r="Z22" s="461">
        <f t="shared" si="9"/>
        <v>18</v>
      </c>
      <c r="AA22" s="466" t="str">
        <f ca="1">IF(Geldig,"Zware stookolie","")</f>
        <v>Zware stookolie</v>
      </c>
      <c r="AB22" s="465">
        <v>2</v>
      </c>
      <c r="AC22" s="464">
        <f t="shared" ca="1" si="13"/>
        <v>3</v>
      </c>
      <c r="AD22" s="465" t="s">
        <v>186</v>
      </c>
      <c r="AE22" s="467"/>
      <c r="AF22" s="468" t="str">
        <f t="shared" ca="1" si="2"/>
        <v/>
      </c>
      <c r="AG22" s="507"/>
      <c r="AH22" s="506"/>
    </row>
    <row r="23" spans="1:34" x14ac:dyDescent="0.15">
      <c r="A23" s="505"/>
      <c r="B23" s="441"/>
      <c r="C23" s="444">
        <f t="shared" si="3"/>
        <v>-11</v>
      </c>
      <c r="D23" s="668"/>
      <c r="E23" s="668"/>
      <c r="F23" s="677"/>
      <c r="G23" s="445">
        <f t="shared" ca="1" si="0"/>
        <v>-5</v>
      </c>
      <c r="H23" s="668"/>
      <c r="I23" s="668"/>
      <c r="J23" s="668"/>
      <c r="K23" s="668"/>
      <c r="L23" s="732"/>
      <c r="M23" s="670"/>
      <c r="N23" s="738" t="s">
        <v>325</v>
      </c>
      <c r="O23" s="438" t="s">
        <v>8</v>
      </c>
      <c r="P23" s="439">
        <f ca="1">IF(Geldig,$R$3,"")</f>
        <v>2</v>
      </c>
      <c r="Q23" s="461">
        <f t="shared" si="7"/>
        <v>19</v>
      </c>
      <c r="R23" s="471" t="s">
        <v>1</v>
      </c>
      <c r="S23" s="465"/>
      <c r="T23" s="472">
        <f t="shared" si="10"/>
        <v>18</v>
      </c>
      <c r="U23" s="466" t="str">
        <f t="shared" ca="1" si="8"/>
        <v/>
      </c>
      <c r="V23" s="472"/>
      <c r="W23" s="473" t="str">
        <f t="shared" si="12"/>
        <v/>
      </c>
      <c r="X23" s="507"/>
      <c r="Y23" s="507"/>
      <c r="Z23" s="461">
        <f t="shared" si="9"/>
        <v>19</v>
      </c>
      <c r="AA23" s="466" t="str">
        <f ca="1">IF(Geldig,"Niet-commerciële vloeibare brandstoffen (bv productie residuen) uit eigen installatie","")</f>
        <v>Niet-commerciële vloeibare brandstoffen (bv productie residuen) uit eigen installatie</v>
      </c>
      <c r="AB23" s="465">
        <v>2</v>
      </c>
      <c r="AC23" s="464">
        <f t="shared" ca="1" si="13"/>
        <v>3</v>
      </c>
      <c r="AD23" s="465" t="s">
        <v>186</v>
      </c>
      <c r="AE23" s="467"/>
      <c r="AF23" s="468" t="str">
        <f t="shared" ca="1" si="2"/>
        <v/>
      </c>
      <c r="AG23" s="507"/>
      <c r="AH23" s="506"/>
    </row>
    <row r="24" spans="1:34" x14ac:dyDescent="0.15">
      <c r="A24" s="505"/>
      <c r="B24" s="441"/>
      <c r="C24" s="444">
        <f t="shared" si="3"/>
        <v>-11</v>
      </c>
      <c r="D24" s="668"/>
      <c r="E24" s="668"/>
      <c r="F24" s="677"/>
      <c r="G24" s="445">
        <f t="shared" ca="1" si="0"/>
        <v>-5</v>
      </c>
      <c r="H24" s="668"/>
      <c r="I24" s="668"/>
      <c r="J24" s="668"/>
      <c r="K24" s="668"/>
      <c r="L24" s="732"/>
      <c r="M24" s="670"/>
      <c r="N24" s="738" t="s">
        <v>326</v>
      </c>
      <c r="O24" s="438" t="s">
        <v>35</v>
      </c>
      <c r="P24" s="439" t="str">
        <f ca="1">IF(Geldig,Regelgeving!$AE$4,"")</f>
        <v>Standaard middelgrote stookinstallatie gestookt op standaard brandstof</v>
      </c>
      <c r="Q24" s="461">
        <f t="shared" si="7"/>
        <v>20</v>
      </c>
      <c r="R24" s="471" t="s">
        <v>1</v>
      </c>
      <c r="S24" s="465"/>
      <c r="T24" s="472">
        <f t="shared" si="10"/>
        <v>19</v>
      </c>
      <c r="U24" s="466" t="str">
        <f t="shared" ca="1" si="8"/>
        <v/>
      </c>
      <c r="V24" s="472"/>
      <c r="W24" s="473" t="str">
        <f t="shared" si="12"/>
        <v/>
      </c>
      <c r="X24" s="507"/>
      <c r="Y24" s="507"/>
      <c r="Z24" s="461">
        <f t="shared" si="9"/>
        <v>20</v>
      </c>
      <c r="AA24" s="466" t="str">
        <f ca="1">IF(Geldig,"Overige vloeibare brandstoffen","")</f>
        <v>Overige vloeibare brandstoffen</v>
      </c>
      <c r="AB24" s="465">
        <v>2</v>
      </c>
      <c r="AC24" s="464">
        <f t="shared" ca="1" si="13"/>
        <v>3</v>
      </c>
      <c r="AD24" s="465" t="s">
        <v>186</v>
      </c>
      <c r="AE24" s="467"/>
      <c r="AF24" s="468" t="str">
        <f t="shared" ca="1" si="2"/>
        <v/>
      </c>
      <c r="AG24" s="507"/>
      <c r="AH24" s="506"/>
    </row>
    <row r="25" spans="1:34" x14ac:dyDescent="0.15">
      <c r="A25" s="505"/>
      <c r="B25" s="441"/>
      <c r="C25" s="444">
        <f t="shared" si="3"/>
        <v>-11</v>
      </c>
      <c r="D25" s="668"/>
      <c r="E25" s="668"/>
      <c r="F25" s="677"/>
      <c r="G25" s="445">
        <f t="shared" ca="1" si="0"/>
        <v>-5</v>
      </c>
      <c r="H25" s="668"/>
      <c r="I25" s="668"/>
      <c r="J25" s="668"/>
      <c r="K25" s="668"/>
      <c r="L25" s="732"/>
      <c r="M25" s="670"/>
      <c r="N25" s="738" t="s">
        <v>327</v>
      </c>
      <c r="O25" s="438" t="s">
        <v>19</v>
      </c>
      <c r="P25" s="439">
        <f ca="1">IF(Geldig,INDEX($AB$5:$AB$32,$AA$3),"")</f>
        <v>1</v>
      </c>
      <c r="Q25" s="461">
        <f t="shared" si="7"/>
        <v>21</v>
      </c>
      <c r="R25" s="471" t="s">
        <v>1</v>
      </c>
      <c r="S25" s="465"/>
      <c r="T25" s="472">
        <f t="shared" si="10"/>
        <v>20</v>
      </c>
      <c r="U25" s="466" t="str">
        <f t="shared" ca="1" si="8"/>
        <v/>
      </c>
      <c r="V25" s="472"/>
      <c r="W25" s="473" t="str">
        <f t="shared" si="12"/>
        <v/>
      </c>
      <c r="X25" s="507"/>
      <c r="Y25" s="507"/>
      <c r="Z25" s="461">
        <f t="shared" si="9"/>
        <v>21</v>
      </c>
      <c r="AA25" s="466" t="str">
        <f ca="1">IF(Geldig,"Kolen","")</f>
        <v>Kolen</v>
      </c>
      <c r="AB25" s="465">
        <v>2</v>
      </c>
      <c r="AC25" s="464">
        <f ca="1">IF(TSI&lt;0,15,6)</f>
        <v>6</v>
      </c>
      <c r="AD25" s="465" t="s">
        <v>187</v>
      </c>
      <c r="AE25" s="467"/>
      <c r="AF25" s="468" t="str">
        <f t="shared" ca="1" si="2"/>
        <v/>
      </c>
      <c r="AG25" s="507"/>
      <c r="AH25" s="506"/>
    </row>
    <row r="26" spans="1:34" x14ac:dyDescent="0.15">
      <c r="A26" s="505"/>
      <c r="B26" s="441"/>
      <c r="C26" s="444">
        <f t="shared" si="3"/>
        <v>-11</v>
      </c>
      <c r="D26" s="668"/>
      <c r="E26" s="668"/>
      <c r="F26" s="677"/>
      <c r="G26" s="445">
        <f t="shared" ca="1" si="0"/>
        <v>-5</v>
      </c>
      <c r="H26" s="668"/>
      <c r="I26" s="668"/>
      <c r="J26" s="668"/>
      <c r="K26" s="668"/>
      <c r="L26" s="732"/>
      <c r="M26" s="670"/>
      <c r="N26" s="738" t="s">
        <v>329</v>
      </c>
      <c r="O26" s="520" t="s">
        <v>306</v>
      </c>
      <c r="P26" s="524" t="str">
        <f ca="1">IF(ABS(TBRAND1&lt;2),"standaard",IF(ABS(TBRAND1=2),"niet-standaard","afval"))</f>
        <v>standaard</v>
      </c>
      <c r="Q26" s="461">
        <f t="shared" si="7"/>
        <v>22</v>
      </c>
      <c r="R26" s="471" t="s">
        <v>1</v>
      </c>
      <c r="S26" s="465"/>
      <c r="T26" s="472">
        <f t="shared" si="10"/>
        <v>21</v>
      </c>
      <c r="U26" s="466" t="str">
        <f t="shared" ca="1" si="8"/>
        <v/>
      </c>
      <c r="V26" s="472"/>
      <c r="W26" s="473" t="str">
        <f t="shared" si="12"/>
        <v/>
      </c>
      <c r="X26" s="507"/>
      <c r="Y26" s="507"/>
      <c r="Z26" s="461">
        <f t="shared" si="9"/>
        <v>22</v>
      </c>
      <c r="AA26" s="466" t="str">
        <f ca="1">IF(Geldig,"Overige vaste brandstoffen","")</f>
        <v>Overige vaste brandstoffen</v>
      </c>
      <c r="AB26" s="465">
        <v>2</v>
      </c>
      <c r="AC26" s="464">
        <f ca="1">IF(TSI&lt;0,15,6)</f>
        <v>6</v>
      </c>
      <c r="AD26" s="465" t="s">
        <v>187</v>
      </c>
      <c r="AE26" s="467"/>
      <c r="AF26" s="468" t="str">
        <f t="shared" ca="1" si="2"/>
        <v/>
      </c>
      <c r="AG26" s="507"/>
      <c r="AH26" s="506"/>
    </row>
    <row r="27" spans="1:34" x14ac:dyDescent="0.15">
      <c r="A27" s="505"/>
      <c r="B27" s="441"/>
      <c r="C27" s="444">
        <f t="shared" si="3"/>
        <v>-11</v>
      </c>
      <c r="D27" s="668"/>
      <c r="E27" s="668"/>
      <c r="F27" s="677"/>
      <c r="G27" s="445">
        <f t="shared" ca="1" si="0"/>
        <v>-5</v>
      </c>
      <c r="H27" s="668"/>
      <c r="I27" s="668"/>
      <c r="J27" s="668"/>
      <c r="K27" s="668"/>
      <c r="L27" s="732"/>
      <c r="M27" s="670"/>
      <c r="N27" s="738" t="s">
        <v>328</v>
      </c>
      <c r="O27" s="516" t="s">
        <v>24</v>
      </c>
      <c r="P27" s="413" t="str">
        <f ca="1">IF(Geldig,IF(ABRAND2=0,"",INDEX($AB$5:$AB$32,$AF$3)),"")</f>
        <v/>
      </c>
      <c r="Q27" s="461">
        <f t="shared" si="7"/>
        <v>23</v>
      </c>
      <c r="R27" s="471" t="s">
        <v>1</v>
      </c>
      <c r="S27" s="465"/>
      <c r="T27" s="472">
        <f t="shared" si="10"/>
        <v>22</v>
      </c>
      <c r="U27" s="466" t="str">
        <f t="shared" ca="1" si="8"/>
        <v/>
      </c>
      <c r="V27" s="472"/>
      <c r="W27" s="473" t="str">
        <f t="shared" si="12"/>
        <v/>
      </c>
      <c r="X27" s="507"/>
      <c r="Y27" s="507"/>
      <c r="Z27" s="461">
        <f t="shared" si="9"/>
        <v>23</v>
      </c>
      <c r="AA27" s="466" t="str">
        <f ca="1">IF(Geldig,"Huishoudelijke afvalstoffen of vergelijkbare bedrijfsafvalstoffen","")</f>
        <v>Huishoudelijke afvalstoffen of vergelijkbare bedrijfsafvalstoffen</v>
      </c>
      <c r="AB27" s="465">
        <v>3</v>
      </c>
      <c r="AC27" s="464">
        <v>11</v>
      </c>
      <c r="AD27" s="465"/>
      <c r="AE27" s="467"/>
      <c r="AF27" s="468" t="str">
        <f t="shared" ca="1" si="2"/>
        <v/>
      </c>
      <c r="AG27" s="507"/>
      <c r="AH27" s="506"/>
    </row>
    <row r="28" spans="1:34" x14ac:dyDescent="0.15">
      <c r="A28" s="505"/>
      <c r="B28" s="441"/>
      <c r="C28" s="444">
        <f t="shared" si="3"/>
        <v>-11</v>
      </c>
      <c r="D28" s="668"/>
      <c r="E28" s="668"/>
      <c r="F28" s="677"/>
      <c r="G28" s="445">
        <f t="shared" ca="1" si="0"/>
        <v>-5</v>
      </c>
      <c r="H28" s="668"/>
      <c r="I28" s="668"/>
      <c r="J28" s="668"/>
      <c r="K28" s="668"/>
      <c r="L28" s="732"/>
      <c r="M28" s="670"/>
      <c r="N28" s="738" t="s">
        <v>330</v>
      </c>
      <c r="O28" s="521" t="s">
        <v>307</v>
      </c>
      <c r="P28" s="523" t="str">
        <f ca="1">IF(ABRAND2=0,"",IF(ABS(TBRAND2&lt;2),"standaard",IF(ABS(TBRAND2=2),"niet-standaard","afval")))</f>
        <v/>
      </c>
      <c r="Q28" s="461">
        <f t="shared" si="7"/>
        <v>24</v>
      </c>
      <c r="R28" s="471" t="s">
        <v>1</v>
      </c>
      <c r="S28" s="465"/>
      <c r="T28" s="472">
        <f t="shared" si="10"/>
        <v>23</v>
      </c>
      <c r="U28" s="466" t="str">
        <f t="shared" ca="1" si="8"/>
        <v/>
      </c>
      <c r="V28" s="472"/>
      <c r="W28" s="473" t="str">
        <f t="shared" si="12"/>
        <v/>
      </c>
      <c r="X28" s="507"/>
      <c r="Y28" s="507"/>
      <c r="Z28" s="461">
        <f t="shared" si="9"/>
        <v>24</v>
      </c>
      <c r="AA28" s="466" t="str">
        <f ca="1">IF(Geldig,CONCATENATE("Niet-gevaarlijke afvalstoffen muv biomassa",IF(MW&lt;50," en onverwerkte mest","")),"")</f>
        <v>Niet-gevaarlijke afvalstoffen muv biomassa en onverwerkte mest</v>
      </c>
      <c r="AB28" s="465">
        <v>3</v>
      </c>
      <c r="AC28" s="464">
        <v>11</v>
      </c>
      <c r="AD28" s="465"/>
      <c r="AE28" s="467"/>
      <c r="AF28" s="468" t="str">
        <f t="shared" ca="1" si="2"/>
        <v/>
      </c>
      <c r="AG28" s="507"/>
      <c r="AH28" s="506"/>
    </row>
    <row r="29" spans="1:34" x14ac:dyDescent="0.15">
      <c r="A29" s="505"/>
      <c r="B29" s="441"/>
      <c r="C29" s="445">
        <f t="shared" si="3"/>
        <v>-11</v>
      </c>
      <c r="D29" s="668"/>
      <c r="E29" s="668"/>
      <c r="F29" s="676"/>
      <c r="G29" s="445">
        <f t="shared" ca="1" si="0"/>
        <v>-5</v>
      </c>
      <c r="H29" s="668"/>
      <c r="I29" s="668"/>
      <c r="J29" s="668"/>
      <c r="K29" s="668"/>
      <c r="L29" s="732"/>
      <c r="M29" s="670"/>
      <c r="N29" s="441" t="s">
        <v>331</v>
      </c>
      <c r="O29" s="516" t="s">
        <v>68</v>
      </c>
      <c r="P29" s="413" t="str">
        <f ca="1">IF(MW&lt;1,"kleine",IF(MW&gt;=50,"grote","middelgrote"))</f>
        <v>middelgrote</v>
      </c>
      <c r="Q29" s="474">
        <f t="shared" si="7"/>
        <v>25</v>
      </c>
      <c r="R29" s="475" t="s">
        <v>1</v>
      </c>
      <c r="S29" s="459"/>
      <c r="T29" s="472">
        <f t="shared" si="10"/>
        <v>24</v>
      </c>
      <c r="U29" s="458" t="str">
        <f t="shared" ca="1" si="8"/>
        <v/>
      </c>
      <c r="V29" s="476" t="str">
        <f ca="1">IF(ISNUMBER(VLOOKUP(T15,$G$3:$J$30,4,FALSE)),VLOOKUP(T15,$G$3:$J$30,4,FALSE),"")</f>
        <v/>
      </c>
      <c r="W29" s="477" t="str">
        <f t="shared" si="12"/>
        <v/>
      </c>
      <c r="X29" s="507"/>
      <c r="Y29" s="507"/>
      <c r="Z29" s="461">
        <f t="shared" si="9"/>
        <v>25</v>
      </c>
      <c r="AA29" s="466" t="str">
        <f ca="1">IF(Geldig,"Afgewerkte olie","")</f>
        <v>Afgewerkte olie</v>
      </c>
      <c r="AB29" s="465">
        <v>3</v>
      </c>
      <c r="AC29" s="464">
        <v>3</v>
      </c>
      <c r="AD29" s="465"/>
      <c r="AE29" s="467"/>
      <c r="AF29" s="468" t="str">
        <f t="shared" ca="1" si="2"/>
        <v/>
      </c>
      <c r="AG29" s="507"/>
      <c r="AH29" s="506"/>
    </row>
    <row r="30" spans="1:34" x14ac:dyDescent="0.15">
      <c r="A30" s="505"/>
      <c r="B30" s="441"/>
      <c r="C30" s="445">
        <f t="shared" si="3"/>
        <v>-11</v>
      </c>
      <c r="D30" s="668"/>
      <c r="E30" s="668"/>
      <c r="F30" s="676"/>
      <c r="G30" s="445">
        <f t="shared" ca="1" si="0"/>
        <v>-5</v>
      </c>
      <c r="H30" s="668"/>
      <c r="I30" s="668"/>
      <c r="J30" s="668"/>
      <c r="K30" s="668"/>
      <c r="L30" s="732"/>
      <c r="M30" s="670"/>
      <c r="N30" s="441" t="s">
        <v>333</v>
      </c>
      <c r="O30" s="516" t="s">
        <v>10</v>
      </c>
      <c r="P30" s="518">
        <f ca="1">IF(Geldig,INDEX($S$5:$S$29,$R$3),"")</f>
        <v>1</v>
      </c>
      <c r="Q30" s="472"/>
      <c r="R30" s="472"/>
      <c r="S30" s="472"/>
      <c r="T30" s="472"/>
      <c r="U30" s="472"/>
      <c r="V30" s="472"/>
      <c r="W30" s="472"/>
      <c r="X30" s="507"/>
      <c r="Y30" s="507"/>
      <c r="Z30" s="468">
        <f t="shared" si="9"/>
        <v>26</v>
      </c>
      <c r="AA30" s="466" t="str">
        <f ca="1">IF(Geldig,"Gevaarlijke afvalstoffen","")</f>
        <v>Gevaarlijke afvalstoffen</v>
      </c>
      <c r="AB30" s="465">
        <v>3</v>
      </c>
      <c r="AC30" s="464">
        <v>11</v>
      </c>
      <c r="AD30" s="465"/>
      <c r="AE30" s="467"/>
      <c r="AF30" s="468" t="str">
        <f t="shared" ca="1" si="2"/>
        <v/>
      </c>
      <c r="AG30" s="507"/>
      <c r="AH30" s="506"/>
    </row>
    <row r="31" spans="1:34" x14ac:dyDescent="0.15">
      <c r="A31" s="505"/>
      <c r="B31" s="441"/>
      <c r="C31" s="450">
        <f t="shared" si="3"/>
        <v>-11</v>
      </c>
      <c r="D31" s="669"/>
      <c r="E31" s="669"/>
      <c r="F31" s="678"/>
      <c r="G31" s="451">
        <f t="shared" ca="1" si="0"/>
        <v>-5</v>
      </c>
      <c r="H31" s="669"/>
      <c r="I31" s="669"/>
      <c r="J31" s="669"/>
      <c r="K31" s="669"/>
      <c r="L31" s="733"/>
      <c r="M31" s="729"/>
      <c r="N31" s="441" t="s">
        <v>332</v>
      </c>
      <c r="O31" s="516" t="s">
        <v>298</v>
      </c>
      <c r="P31" s="413" t="str">
        <f ca="1">IF(Geldig,IF(ABS(ABS(TSI)=1),"Standaard ",IF(ABS(TSI=2),"Niet-standaard ","Bijzondere ")),"")</f>
        <v xml:space="preserve">Standaard </v>
      </c>
      <c r="Q31" s="472"/>
      <c r="R31" s="472"/>
      <c r="S31" s="472"/>
      <c r="T31" s="472"/>
      <c r="U31" s="472"/>
      <c r="V31" s="472"/>
      <c r="W31" s="472"/>
      <c r="X31" s="507"/>
      <c r="Y31" s="507"/>
      <c r="Z31" s="468">
        <f t="shared" si="9"/>
        <v>27</v>
      </c>
      <c r="AA31" s="466" t="str">
        <f ca="1">IF(Geldig,"Ongereinigde producten uit de thermische behandeling van afvalstoffen muv biomassa","")</f>
        <v>Ongereinigde producten uit de thermische behandeling van afvalstoffen muv biomassa</v>
      </c>
      <c r="AB31" s="465">
        <v>3</v>
      </c>
      <c r="AC31" s="464">
        <v>11</v>
      </c>
      <c r="AD31" s="465"/>
      <c r="AE31" s="467"/>
      <c r="AF31" s="468" t="str">
        <f t="shared" ca="1" si="2"/>
        <v/>
      </c>
      <c r="AG31" s="507"/>
      <c r="AH31" s="506"/>
    </row>
    <row r="32" spans="1:34" x14ac:dyDescent="0.15">
      <c r="A32" s="508"/>
      <c r="B32" s="478"/>
      <c r="C32" s="478"/>
      <c r="D32" s="478"/>
      <c r="E32" s="478"/>
      <c r="F32" s="478"/>
      <c r="G32" s="478"/>
      <c r="H32" s="478"/>
      <c r="I32" s="478"/>
      <c r="J32" s="478"/>
      <c r="K32" s="478"/>
      <c r="L32" s="478"/>
      <c r="M32" s="478"/>
      <c r="N32" s="523" t="s">
        <v>334</v>
      </c>
      <c r="O32" s="521" t="s">
        <v>305</v>
      </c>
      <c r="P32" s="524">
        <f>$X$3</f>
        <v>3</v>
      </c>
      <c r="Q32" s="472"/>
      <c r="R32" s="472"/>
      <c r="S32" s="472"/>
      <c r="T32" s="472"/>
      <c r="U32" s="472"/>
      <c r="V32" s="472"/>
      <c r="W32" s="472"/>
      <c r="X32" s="507"/>
      <c r="Y32" s="507"/>
      <c r="Z32" s="456">
        <f t="shared" si="9"/>
        <v>28</v>
      </c>
      <c r="AA32" s="458" t="str">
        <f ca="1">IF(Geldig,"Gasvormige afvalstoffen","")</f>
        <v>Gasvormige afvalstoffen</v>
      </c>
      <c r="AB32" s="459">
        <v>2</v>
      </c>
      <c r="AC32" s="460">
        <f ca="1">IF(TSI&lt;0,15,3)</f>
        <v>3</v>
      </c>
      <c r="AD32" s="459" t="s">
        <v>185</v>
      </c>
      <c r="AE32" s="457"/>
      <c r="AF32" s="456" t="str">
        <f t="shared" ca="1" si="2"/>
        <v/>
      </c>
      <c r="AG32" s="507"/>
      <c r="AH32" s="506"/>
    </row>
    <row r="33" spans="1:34" ht="12" thickBot="1" x14ac:dyDescent="0.2">
      <c r="A33" s="509"/>
      <c r="B33" s="510"/>
      <c r="C33" s="510"/>
      <c r="D33" s="510"/>
      <c r="E33" s="510"/>
      <c r="F33" s="510"/>
      <c r="G33" s="510"/>
      <c r="H33" s="510"/>
      <c r="I33" s="510"/>
      <c r="J33" s="510"/>
      <c r="K33" s="510"/>
      <c r="L33" s="510"/>
      <c r="M33" s="510"/>
      <c r="N33" s="525" t="s">
        <v>335</v>
      </c>
      <c r="O33" s="522" t="s">
        <v>6</v>
      </c>
      <c r="P33" s="519" t="str">
        <f>B4</f>
        <v>&lt;vs1&gt;</v>
      </c>
      <c r="Q33" s="511"/>
      <c r="R33" s="512" t="s">
        <v>1</v>
      </c>
      <c r="S33" s="513"/>
      <c r="T33" s="510"/>
      <c r="U33" s="510"/>
      <c r="V33" s="510"/>
      <c r="W33" s="510"/>
      <c r="X33" s="514"/>
      <c r="Y33" s="514"/>
      <c r="Z33" s="511"/>
      <c r="AA33" s="510"/>
      <c r="AB33" s="514"/>
      <c r="AC33" s="514"/>
      <c r="AD33" s="514"/>
      <c r="AE33" s="514"/>
      <c r="AF33" s="510"/>
      <c r="AG33" s="514"/>
      <c r="AH33" s="515"/>
    </row>
    <row r="34" spans="1:34" x14ac:dyDescent="0.15">
      <c r="A34" s="5"/>
      <c r="B34" s="5"/>
      <c r="H34" s="5"/>
      <c r="I34" s="5"/>
      <c r="J34" s="5"/>
      <c r="K34" s="5"/>
      <c r="L34" s="5"/>
      <c r="M34" s="5"/>
      <c r="Q34" s="1"/>
      <c r="R34" s="8" t="s">
        <v>1</v>
      </c>
      <c r="S34" s="7"/>
      <c r="Z34" s="1"/>
    </row>
    <row r="35" spans="1:34" x14ac:dyDescent="0.15">
      <c r="H35" s="5"/>
      <c r="I35" s="5"/>
      <c r="J35" s="5"/>
      <c r="K35" s="10"/>
      <c r="L35" s="10"/>
      <c r="M35" s="10"/>
    </row>
    <row r="36" spans="1:34" x14ac:dyDescent="0.15">
      <c r="G36" s="5"/>
      <c r="H36" s="5"/>
      <c r="I36" s="5"/>
      <c r="J36" s="5"/>
      <c r="K36" s="5"/>
      <c r="L36" s="5"/>
      <c r="M36" s="5"/>
      <c r="N36" s="5"/>
      <c r="O36" s="5"/>
      <c r="P36" s="5"/>
      <c r="Q36" s="5"/>
      <c r="R36" s="5"/>
      <c r="S36" s="5"/>
      <c r="T36" s="5"/>
      <c r="U36" s="5"/>
      <c r="V36" s="5"/>
      <c r="W36" s="5"/>
      <c r="X36" s="10"/>
      <c r="Y36" s="10"/>
      <c r="Z36" s="5"/>
      <c r="AA36" s="5"/>
      <c r="AB36" s="10"/>
    </row>
    <row r="37" spans="1:34" x14ac:dyDescent="0.15">
      <c r="G37" s="5"/>
      <c r="H37" s="5"/>
      <c r="I37" s="5"/>
      <c r="J37" s="5"/>
      <c r="K37" s="5"/>
      <c r="L37" s="5"/>
      <c r="M37" s="5"/>
      <c r="N37" s="5"/>
      <c r="O37" s="5">
        <f ca="1">IF(INGVAN&gt;IWTMCP,1,0)</f>
        <v>0</v>
      </c>
      <c r="P37" s="5"/>
      <c r="Q37" s="5"/>
      <c r="R37" s="5"/>
      <c r="S37" s="5"/>
      <c r="T37" s="5"/>
      <c r="U37" s="5"/>
      <c r="V37" s="5"/>
      <c r="W37" s="5"/>
      <c r="X37" s="10"/>
      <c r="Y37" s="10"/>
      <c r="Z37" s="5"/>
      <c r="AA37" s="5"/>
      <c r="AB37" s="10"/>
    </row>
    <row r="38" spans="1:34" x14ac:dyDescent="0.15">
      <c r="G38" s="5"/>
      <c r="H38" s="5"/>
      <c r="I38" s="5"/>
      <c r="J38" s="5"/>
      <c r="K38" s="5"/>
      <c r="L38" s="5"/>
      <c r="M38" s="5"/>
      <c r="N38" s="5"/>
      <c r="O38" s="5"/>
      <c r="P38" s="5"/>
      <c r="Q38" s="5"/>
      <c r="R38" s="5"/>
      <c r="S38" s="5"/>
      <c r="T38" s="5"/>
      <c r="U38" s="5"/>
      <c r="V38" s="5"/>
      <c r="W38" s="5"/>
      <c r="X38" s="10"/>
      <c r="Y38" s="10"/>
      <c r="Z38" s="5"/>
      <c r="AA38" s="5"/>
      <c r="AB38" s="10"/>
    </row>
    <row r="39" spans="1:34" x14ac:dyDescent="0.15">
      <c r="G39" s="5"/>
      <c r="H39" s="5"/>
      <c r="I39" s="5"/>
      <c r="J39" s="5"/>
      <c r="K39" s="5"/>
      <c r="L39" s="5"/>
      <c r="M39" s="5"/>
      <c r="N39" s="5"/>
      <c r="O39" s="5"/>
      <c r="P39" s="5"/>
      <c r="Q39" s="5"/>
      <c r="R39" s="5"/>
      <c r="S39" s="5"/>
      <c r="T39" s="5"/>
      <c r="U39" s="5"/>
      <c r="V39" s="5"/>
      <c r="W39" s="5"/>
      <c r="X39" s="10"/>
      <c r="Y39" s="10"/>
      <c r="Z39" s="5"/>
      <c r="AA39" s="5"/>
      <c r="AB39" s="10"/>
    </row>
    <row r="40" spans="1:34" x14ac:dyDescent="0.15">
      <c r="G40" s="5"/>
      <c r="H40" s="5"/>
      <c r="I40" s="5"/>
      <c r="J40" s="5"/>
      <c r="K40" s="5"/>
      <c r="L40" s="5"/>
      <c r="M40" s="5"/>
      <c r="N40" s="5"/>
      <c r="O40" s="5"/>
      <c r="P40" s="5"/>
      <c r="Q40" s="5"/>
      <c r="R40" s="5"/>
      <c r="S40" s="5"/>
      <c r="T40" s="5"/>
      <c r="U40" s="5"/>
      <c r="V40" s="5"/>
      <c r="W40" s="5"/>
      <c r="X40" s="10"/>
      <c r="Y40" s="10"/>
      <c r="Z40" s="5"/>
      <c r="AA40" s="5"/>
      <c r="AB40" s="10"/>
    </row>
    <row r="41" spans="1:34" x14ac:dyDescent="0.15">
      <c r="G41" s="5"/>
      <c r="H41" s="5"/>
      <c r="I41" s="5"/>
      <c r="J41" s="5"/>
      <c r="K41" s="5"/>
      <c r="L41" s="5"/>
      <c r="M41" s="5"/>
      <c r="N41" s="5"/>
      <c r="O41" s="5"/>
      <c r="P41" s="5"/>
      <c r="Q41" s="5"/>
      <c r="R41" s="5"/>
      <c r="S41" s="5"/>
      <c r="T41" s="5"/>
      <c r="U41" s="5"/>
      <c r="V41" s="5"/>
      <c r="W41" s="5"/>
      <c r="X41" s="10"/>
      <c r="Y41" s="10"/>
      <c r="Z41" s="5"/>
      <c r="AA41" s="5"/>
      <c r="AB41" s="10"/>
    </row>
    <row r="42" spans="1:34" x14ac:dyDescent="0.15">
      <c r="G42" s="5"/>
      <c r="H42" s="5"/>
      <c r="I42" s="5"/>
      <c r="J42" s="5"/>
      <c r="K42" s="5"/>
      <c r="L42" s="5"/>
      <c r="M42" s="5"/>
      <c r="N42" s="5"/>
      <c r="O42" s="5"/>
      <c r="P42" s="5"/>
      <c r="Q42" s="5"/>
      <c r="R42" s="5"/>
      <c r="S42" s="5"/>
      <c r="T42" s="5"/>
      <c r="U42" s="5"/>
      <c r="V42" s="5"/>
      <c r="W42" s="5"/>
      <c r="X42" s="10"/>
      <c r="Y42" s="10"/>
      <c r="Z42" s="5"/>
      <c r="AA42" s="5"/>
      <c r="AB42" s="10"/>
    </row>
    <row r="43" spans="1:34" x14ac:dyDescent="0.15">
      <c r="G43" s="5"/>
      <c r="H43" s="5"/>
      <c r="I43" s="5"/>
      <c r="J43" s="5"/>
      <c r="K43" s="5"/>
      <c r="L43" s="5"/>
      <c r="M43" s="5"/>
      <c r="N43" s="5"/>
      <c r="O43" s="5"/>
      <c r="P43" s="5"/>
      <c r="Q43" s="5"/>
      <c r="R43" s="5"/>
      <c r="S43" s="5"/>
      <c r="T43" s="5"/>
      <c r="U43" s="5"/>
      <c r="V43" s="5"/>
      <c r="W43" s="5"/>
      <c r="X43" s="10"/>
      <c r="Y43" s="10"/>
      <c r="Z43" s="5"/>
      <c r="AA43" s="5"/>
      <c r="AB43" s="10"/>
    </row>
    <row r="44" spans="1:34" x14ac:dyDescent="0.15">
      <c r="G44" s="5"/>
      <c r="H44" s="5"/>
      <c r="I44" s="5"/>
      <c r="J44" s="5"/>
      <c r="K44" s="5"/>
      <c r="L44" s="5"/>
      <c r="M44" s="5"/>
      <c r="N44" s="5"/>
      <c r="O44" s="5"/>
      <c r="P44" s="5"/>
      <c r="Q44" s="5"/>
      <c r="R44" s="5"/>
      <c r="S44" s="5"/>
      <c r="T44" s="5"/>
      <c r="U44" s="5"/>
      <c r="V44" s="5"/>
      <c r="W44" s="5"/>
      <c r="X44" s="10"/>
      <c r="Y44" s="10"/>
      <c r="Z44" s="5"/>
      <c r="AA44" s="5"/>
      <c r="AB44" s="10"/>
    </row>
    <row r="45" spans="1:34" x14ac:dyDescent="0.15">
      <c r="G45" s="5"/>
      <c r="H45" s="5"/>
      <c r="I45" s="5"/>
      <c r="J45" s="5"/>
      <c r="K45" s="5"/>
      <c r="L45" s="5"/>
      <c r="M45" s="5"/>
      <c r="N45" s="5"/>
      <c r="O45" s="5"/>
      <c r="P45" s="5"/>
      <c r="Q45" s="5"/>
      <c r="R45" s="5"/>
      <c r="S45" s="5"/>
      <c r="T45" s="5"/>
      <c r="U45" s="5"/>
      <c r="V45" s="5"/>
      <c r="W45" s="5"/>
      <c r="X45" s="10"/>
      <c r="Y45" s="10"/>
      <c r="Z45" s="5"/>
      <c r="AA45" s="5"/>
      <c r="AB45" s="10"/>
    </row>
    <row r="46" spans="1:34" x14ac:dyDescent="0.15">
      <c r="G46" s="5"/>
      <c r="H46" s="5"/>
      <c r="I46" s="5"/>
      <c r="J46" s="5"/>
      <c r="K46" s="5"/>
      <c r="L46" s="5"/>
      <c r="M46" s="5"/>
      <c r="N46" s="5"/>
      <c r="O46" s="5"/>
      <c r="P46" s="5"/>
      <c r="Q46" s="5"/>
      <c r="R46" s="5"/>
      <c r="S46" s="5"/>
      <c r="T46" s="5"/>
      <c r="U46" s="5"/>
      <c r="V46" s="5"/>
      <c r="W46" s="5"/>
      <c r="X46" s="10"/>
      <c r="Y46" s="10"/>
      <c r="Z46" s="5"/>
      <c r="AA46" s="5"/>
      <c r="AB46" s="10"/>
    </row>
    <row r="47" spans="1:34" x14ac:dyDescent="0.15">
      <c r="G47" s="5"/>
      <c r="H47" s="5"/>
      <c r="I47" s="5"/>
      <c r="J47" s="5"/>
      <c r="K47" s="5"/>
      <c r="L47" s="5"/>
      <c r="M47" s="5"/>
      <c r="N47" s="5"/>
      <c r="O47" s="5"/>
      <c r="P47" s="5"/>
      <c r="Q47" s="5"/>
      <c r="R47" s="5"/>
      <c r="S47" s="5"/>
      <c r="T47" s="5"/>
      <c r="U47" s="5"/>
      <c r="V47" s="5"/>
      <c r="W47" s="5"/>
      <c r="X47" s="10"/>
      <c r="Y47" s="10"/>
      <c r="Z47" s="5"/>
      <c r="AA47" s="5"/>
      <c r="AB47" s="10"/>
    </row>
    <row r="48" spans="1:34" x14ac:dyDescent="0.15">
      <c r="G48" s="5"/>
      <c r="H48" s="5"/>
      <c r="I48" s="5"/>
      <c r="J48" s="5"/>
      <c r="K48" s="5"/>
      <c r="L48" s="5"/>
      <c r="M48" s="5"/>
      <c r="N48" s="5"/>
      <c r="O48" s="5"/>
      <c r="P48" s="5"/>
      <c r="Q48" s="5"/>
      <c r="R48" s="5"/>
      <c r="S48" s="5"/>
      <c r="T48" s="5"/>
      <c r="U48" s="5"/>
      <c r="V48" s="5"/>
      <c r="W48" s="5"/>
      <c r="X48" s="10"/>
      <c r="Y48" s="10"/>
      <c r="Z48" s="5"/>
      <c r="AA48" s="5"/>
      <c r="AB48" s="10"/>
    </row>
    <row r="49" spans="7:28" x14ac:dyDescent="0.15">
      <c r="G49" s="5"/>
      <c r="H49" s="5"/>
      <c r="I49" s="5"/>
      <c r="J49" s="5"/>
      <c r="K49" s="5"/>
      <c r="L49" s="5"/>
      <c r="M49" s="5"/>
      <c r="N49" s="5"/>
      <c r="O49" s="5"/>
      <c r="P49" s="5"/>
      <c r="Q49" s="5"/>
      <c r="R49" s="5"/>
      <c r="S49" s="5"/>
      <c r="T49" s="5"/>
      <c r="U49" s="5"/>
      <c r="V49" s="5"/>
      <c r="W49" s="5"/>
      <c r="X49" s="10"/>
      <c r="Y49" s="10"/>
      <c r="Z49" s="5"/>
      <c r="AA49" s="5"/>
      <c r="AB49" s="10"/>
    </row>
    <row r="50" spans="7:28" x14ac:dyDescent="0.15">
      <c r="G50" s="5"/>
      <c r="H50" s="5"/>
      <c r="I50" s="5"/>
      <c r="J50" s="5"/>
      <c r="K50" s="5"/>
      <c r="L50" s="5"/>
      <c r="M50" s="5"/>
      <c r="N50" s="5"/>
      <c r="O50" s="5"/>
      <c r="P50" s="5"/>
      <c r="Q50" s="5"/>
      <c r="R50" s="5"/>
      <c r="S50" s="5"/>
      <c r="T50" s="5"/>
      <c r="U50" s="5"/>
      <c r="V50" s="5"/>
      <c r="W50" s="5"/>
      <c r="X50" s="10"/>
      <c r="Y50" s="10"/>
      <c r="Z50" s="5"/>
      <c r="AA50" s="5"/>
      <c r="AB50" s="10"/>
    </row>
    <row r="51" spans="7:28" x14ac:dyDescent="0.15">
      <c r="G51" s="5"/>
      <c r="H51" s="5"/>
      <c r="I51" s="5"/>
      <c r="J51" s="5"/>
      <c r="K51" s="5"/>
      <c r="L51" s="5"/>
      <c r="M51" s="5"/>
      <c r="N51" s="5"/>
      <c r="O51" s="5"/>
      <c r="P51" s="5"/>
      <c r="Q51" s="5"/>
      <c r="R51" s="5"/>
      <c r="S51" s="5"/>
      <c r="T51" s="5"/>
      <c r="U51" s="5"/>
      <c r="V51" s="5"/>
      <c r="W51" s="5"/>
      <c r="X51" s="10"/>
      <c r="Y51" s="10"/>
      <c r="Z51" s="5"/>
      <c r="AA51" s="5"/>
      <c r="AB51" s="10"/>
    </row>
    <row r="52" spans="7:28" x14ac:dyDescent="0.15">
      <c r="G52" s="5"/>
      <c r="H52" s="5"/>
      <c r="I52" s="5"/>
      <c r="J52" s="5"/>
      <c r="K52" s="5"/>
      <c r="L52" s="5"/>
      <c r="M52" s="5"/>
      <c r="N52" s="5"/>
      <c r="O52" s="5"/>
      <c r="P52" s="5"/>
      <c r="Q52" s="5"/>
      <c r="R52" s="5"/>
      <c r="S52" s="5"/>
      <c r="T52" s="5"/>
      <c r="U52" s="5"/>
      <c r="V52" s="5"/>
      <c r="W52" s="5"/>
      <c r="X52" s="10"/>
      <c r="Y52" s="10"/>
      <c r="Z52" s="5"/>
      <c r="AA52" s="5"/>
      <c r="AB52" s="10"/>
    </row>
    <row r="53" spans="7:28" x14ac:dyDescent="0.15">
      <c r="G53" s="5"/>
      <c r="H53" s="5"/>
      <c r="I53" s="5"/>
      <c r="J53" s="5"/>
      <c r="K53" s="5"/>
      <c r="L53" s="5"/>
      <c r="M53" s="5"/>
      <c r="N53" s="5"/>
      <c r="O53" s="5"/>
      <c r="P53" s="5"/>
      <c r="Q53" s="5"/>
      <c r="R53" s="5"/>
      <c r="S53" s="5"/>
      <c r="T53" s="5"/>
      <c r="U53" s="5"/>
      <c r="V53" s="5"/>
      <c r="W53" s="5"/>
      <c r="X53" s="10"/>
      <c r="Y53" s="10"/>
      <c r="Z53" s="5"/>
      <c r="AA53" s="5"/>
      <c r="AB53" s="10"/>
    </row>
    <row r="69" spans="16:16" x14ac:dyDescent="0.15">
      <c r="P69" s="5"/>
    </row>
    <row r="71" spans="16:16" x14ac:dyDescent="0.15">
      <c r="P71" s="5"/>
    </row>
    <row r="73" spans="16:16" x14ac:dyDescent="0.15">
      <c r="P73" s="5"/>
    </row>
    <row r="75" spans="16:16" x14ac:dyDescent="0.15">
      <c r="P75" s="5"/>
    </row>
  </sheetData>
  <mergeCells count="4">
    <mergeCell ref="U3:W3"/>
    <mergeCell ref="C2:D2"/>
    <mergeCell ref="N2:P2"/>
    <mergeCell ref="L2:M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38"/>
  <sheetViews>
    <sheetView topLeftCell="Q4" workbookViewId="0">
      <selection activeCell="AQ20" sqref="AQ20"/>
    </sheetView>
  </sheetViews>
  <sheetFormatPr defaultRowHeight="11.25" x14ac:dyDescent="0.2"/>
  <cols>
    <col min="1" max="1" width="16.375" style="14" customWidth="1"/>
    <col min="2" max="2" width="2.75" style="36" customWidth="1"/>
    <col min="3" max="3" width="2.75" style="36" bestFit="1" customWidth="1"/>
    <col min="4" max="5" width="2.75" style="14" customWidth="1"/>
    <col min="6" max="6" width="2.75" style="14" bestFit="1" customWidth="1"/>
    <col min="7" max="7" width="2.75" style="14" customWidth="1"/>
    <col min="8" max="8" width="2.625" style="14" bestFit="1" customWidth="1"/>
    <col min="9" max="9" width="2.75" style="14" bestFit="1" customWidth="1"/>
    <col min="10" max="15" width="2.75" style="14" customWidth="1"/>
    <col min="16" max="16" width="20.75" style="14" bestFit="1" customWidth="1"/>
    <col min="17" max="17" width="17.25" style="14" bestFit="1" customWidth="1"/>
    <col min="18" max="25" width="3.75" style="14" customWidth="1"/>
    <col min="26" max="26" width="7.75" style="14" customWidth="1"/>
    <col min="27" max="27" width="7.375" style="14" customWidth="1"/>
    <col min="28" max="30" width="6.375" style="14" customWidth="1"/>
    <col min="31" max="31" width="7" style="14" customWidth="1"/>
    <col min="32" max="32" width="8" style="14" customWidth="1"/>
    <col min="33" max="35" width="3.5" style="14" customWidth="1"/>
    <col min="36" max="36" width="3.75" style="3" bestFit="1" customWidth="1"/>
    <col min="37" max="40" width="3.75" style="3" customWidth="1"/>
    <col min="41" max="47" width="10.5" style="14" customWidth="1"/>
    <col min="48" max="48" width="11.125" style="14" customWidth="1"/>
    <col min="49" max="248" width="9" style="14"/>
    <col min="249" max="249" width="9.75" style="14" bestFit="1" customWidth="1"/>
    <col min="250" max="251" width="2.75" style="14" bestFit="1" customWidth="1"/>
    <col min="252" max="253" width="2.75" style="14" customWidth="1"/>
    <col min="254" max="255" width="2.75" style="14" bestFit="1" customWidth="1"/>
    <col min="256" max="257" width="2.75" style="14" customWidth="1"/>
    <col min="258" max="258" width="2.75" style="14" bestFit="1" customWidth="1"/>
    <col min="259" max="260" width="9" style="14"/>
    <col min="261" max="262" width="8.625" style="14" customWidth="1"/>
    <col min="263" max="263" width="10.125" style="14" bestFit="1" customWidth="1"/>
    <col min="264" max="264" width="9" style="14"/>
    <col min="265" max="265" width="15" style="14" customWidth="1"/>
    <col min="266" max="268" width="9" style="14"/>
    <col min="269" max="271" width="9.375" style="14" customWidth="1"/>
    <col min="272" max="274" width="8.75" style="14" customWidth="1"/>
    <col min="275" max="275" width="9" style="14"/>
    <col min="276" max="276" width="12.75" style="14" customWidth="1"/>
    <col min="277" max="278" width="9" style="14"/>
    <col min="279" max="279" width="12.75" style="14" customWidth="1"/>
    <col min="280" max="281" width="9" style="14"/>
    <col min="282" max="282" width="9.375" style="14" customWidth="1"/>
    <col min="283" max="283" width="9.25" style="14" customWidth="1"/>
    <col min="284" max="285" width="12.75" style="14" customWidth="1"/>
    <col min="286" max="289" width="7.625" style="14" customWidth="1"/>
    <col min="290" max="291" width="12.75" style="14" customWidth="1"/>
    <col min="292" max="295" width="7.625" style="14" customWidth="1"/>
    <col min="296" max="297" width="12.75" style="14" customWidth="1"/>
    <col min="298" max="301" width="7.625" style="14" customWidth="1"/>
    <col min="302" max="504" width="9" style="14"/>
    <col min="505" max="505" width="9.75" style="14" bestFit="1" customWidth="1"/>
    <col min="506" max="507" width="2.75" style="14" bestFit="1" customWidth="1"/>
    <col min="508" max="509" width="2.75" style="14" customWidth="1"/>
    <col min="510" max="511" width="2.75" style="14" bestFit="1" customWidth="1"/>
    <col min="512" max="513" width="2.75" style="14" customWidth="1"/>
    <col min="514" max="514" width="2.75" style="14" bestFit="1" customWidth="1"/>
    <col min="515" max="516" width="9" style="14"/>
    <col min="517" max="518" width="8.625" style="14" customWidth="1"/>
    <col min="519" max="519" width="10.125" style="14" bestFit="1" customWidth="1"/>
    <col min="520" max="520" width="9" style="14"/>
    <col min="521" max="521" width="15" style="14" customWidth="1"/>
    <col min="522" max="524" width="9" style="14"/>
    <col min="525" max="527" width="9.375" style="14" customWidth="1"/>
    <col min="528" max="530" width="8.75" style="14" customWidth="1"/>
    <col min="531" max="531" width="9" style="14"/>
    <col min="532" max="532" width="12.75" style="14" customWidth="1"/>
    <col min="533" max="534" width="9" style="14"/>
    <col min="535" max="535" width="12.75" style="14" customWidth="1"/>
    <col min="536" max="537" width="9" style="14"/>
    <col min="538" max="538" width="9.375" style="14" customWidth="1"/>
    <col min="539" max="539" width="9.25" style="14" customWidth="1"/>
    <col min="540" max="541" width="12.75" style="14" customWidth="1"/>
    <col min="542" max="545" width="7.625" style="14" customWidth="1"/>
    <col min="546" max="547" width="12.75" style="14" customWidth="1"/>
    <col min="548" max="551" width="7.625" style="14" customWidth="1"/>
    <col min="552" max="553" width="12.75" style="14" customWidth="1"/>
    <col min="554" max="557" width="7.625" style="14" customWidth="1"/>
    <col min="558" max="760" width="9" style="14"/>
    <col min="761" max="761" width="9.75" style="14" bestFit="1" customWidth="1"/>
    <col min="762" max="763" width="2.75" style="14" bestFit="1" customWidth="1"/>
    <col min="764" max="765" width="2.75" style="14" customWidth="1"/>
    <col min="766" max="767" width="2.75" style="14" bestFit="1" customWidth="1"/>
    <col min="768" max="769" width="2.75" style="14" customWidth="1"/>
    <col min="770" max="770" width="2.75" style="14" bestFit="1" customWidth="1"/>
    <col min="771" max="772" width="9" style="14"/>
    <col min="773" max="774" width="8.625" style="14" customWidth="1"/>
    <col min="775" max="775" width="10.125" style="14" bestFit="1" customWidth="1"/>
    <col min="776" max="776" width="9" style="14"/>
    <col min="777" max="777" width="15" style="14" customWidth="1"/>
    <col min="778" max="780" width="9" style="14"/>
    <col min="781" max="783" width="9.375" style="14" customWidth="1"/>
    <col min="784" max="786" width="8.75" style="14" customWidth="1"/>
    <col min="787" max="787" width="9" style="14"/>
    <col min="788" max="788" width="12.75" style="14" customWidth="1"/>
    <col min="789" max="790" width="9" style="14"/>
    <col min="791" max="791" width="12.75" style="14" customWidth="1"/>
    <col min="792" max="793" width="9" style="14"/>
    <col min="794" max="794" width="9.375" style="14" customWidth="1"/>
    <col min="795" max="795" width="9.25" style="14" customWidth="1"/>
    <col min="796" max="797" width="12.75" style="14" customWidth="1"/>
    <col min="798" max="801" width="7.625" style="14" customWidth="1"/>
    <col min="802" max="803" width="12.75" style="14" customWidth="1"/>
    <col min="804" max="807" width="7.625" style="14" customWidth="1"/>
    <col min="808" max="809" width="12.75" style="14" customWidth="1"/>
    <col min="810" max="813" width="7.625" style="14" customWidth="1"/>
    <col min="814" max="1016" width="9" style="14"/>
    <col min="1017" max="1017" width="9.75" style="14" bestFit="1" customWidth="1"/>
    <col min="1018" max="1019" width="2.75" style="14" bestFit="1" customWidth="1"/>
    <col min="1020" max="1021" width="2.75" style="14" customWidth="1"/>
    <col min="1022" max="1023" width="2.75" style="14" bestFit="1" customWidth="1"/>
    <col min="1024" max="1025" width="2.75" style="14" customWidth="1"/>
    <col min="1026" max="1026" width="2.75" style="14" bestFit="1" customWidth="1"/>
    <col min="1027" max="1028" width="9" style="14"/>
    <col min="1029" max="1030" width="8.625" style="14" customWidth="1"/>
    <col min="1031" max="1031" width="10.125" style="14" bestFit="1" customWidth="1"/>
    <col min="1032" max="1032" width="9" style="14"/>
    <col min="1033" max="1033" width="15" style="14" customWidth="1"/>
    <col min="1034" max="1036" width="9" style="14"/>
    <col min="1037" max="1039" width="9.375" style="14" customWidth="1"/>
    <col min="1040" max="1042" width="8.75" style="14" customWidth="1"/>
    <col min="1043" max="1043" width="9" style="14"/>
    <col min="1044" max="1044" width="12.75" style="14" customWidth="1"/>
    <col min="1045" max="1046" width="9" style="14"/>
    <col min="1047" max="1047" width="12.75" style="14" customWidth="1"/>
    <col min="1048" max="1049" width="9" style="14"/>
    <col min="1050" max="1050" width="9.375" style="14" customWidth="1"/>
    <col min="1051" max="1051" width="9.25" style="14" customWidth="1"/>
    <col min="1052" max="1053" width="12.75" style="14" customWidth="1"/>
    <col min="1054" max="1057" width="7.625" style="14" customWidth="1"/>
    <col min="1058" max="1059" width="12.75" style="14" customWidth="1"/>
    <col min="1060" max="1063" width="7.625" style="14" customWidth="1"/>
    <col min="1064" max="1065" width="12.75" style="14" customWidth="1"/>
    <col min="1066" max="1069" width="7.625" style="14" customWidth="1"/>
    <col min="1070" max="1272" width="9" style="14"/>
    <col min="1273" max="1273" width="9.75" style="14" bestFit="1" customWidth="1"/>
    <col min="1274" max="1275" width="2.75" style="14" bestFit="1" customWidth="1"/>
    <col min="1276" max="1277" width="2.75" style="14" customWidth="1"/>
    <col min="1278" max="1279" width="2.75" style="14" bestFit="1" customWidth="1"/>
    <col min="1280" max="1281" width="2.75" style="14" customWidth="1"/>
    <col min="1282" max="1282" width="2.75" style="14" bestFit="1" customWidth="1"/>
    <col min="1283" max="1284" width="9" style="14"/>
    <col min="1285" max="1286" width="8.625" style="14" customWidth="1"/>
    <col min="1287" max="1287" width="10.125" style="14" bestFit="1" customWidth="1"/>
    <col min="1288" max="1288" width="9" style="14"/>
    <col min="1289" max="1289" width="15" style="14" customWidth="1"/>
    <col min="1290" max="1292" width="9" style="14"/>
    <col min="1293" max="1295" width="9.375" style="14" customWidth="1"/>
    <col min="1296" max="1298" width="8.75" style="14" customWidth="1"/>
    <col min="1299" max="1299" width="9" style="14"/>
    <col min="1300" max="1300" width="12.75" style="14" customWidth="1"/>
    <col min="1301" max="1302" width="9" style="14"/>
    <col min="1303" max="1303" width="12.75" style="14" customWidth="1"/>
    <col min="1304" max="1305" width="9" style="14"/>
    <col min="1306" max="1306" width="9.375" style="14" customWidth="1"/>
    <col min="1307" max="1307" width="9.25" style="14" customWidth="1"/>
    <col min="1308" max="1309" width="12.75" style="14" customWidth="1"/>
    <col min="1310" max="1313" width="7.625" style="14" customWidth="1"/>
    <col min="1314" max="1315" width="12.75" style="14" customWidth="1"/>
    <col min="1316" max="1319" width="7.625" style="14" customWidth="1"/>
    <col min="1320" max="1321" width="12.75" style="14" customWidth="1"/>
    <col min="1322" max="1325" width="7.625" style="14" customWidth="1"/>
    <col min="1326" max="1528" width="9" style="14"/>
    <col min="1529" max="1529" width="9.75" style="14" bestFit="1" customWidth="1"/>
    <col min="1530" max="1531" width="2.75" style="14" bestFit="1" customWidth="1"/>
    <col min="1532" max="1533" width="2.75" style="14" customWidth="1"/>
    <col min="1534" max="1535" width="2.75" style="14" bestFit="1" customWidth="1"/>
    <col min="1536" max="1537" width="2.75" style="14" customWidth="1"/>
    <col min="1538" max="1538" width="2.75" style="14" bestFit="1" customWidth="1"/>
    <col min="1539" max="1540" width="9" style="14"/>
    <col min="1541" max="1542" width="8.625" style="14" customWidth="1"/>
    <col min="1543" max="1543" width="10.125" style="14" bestFit="1" customWidth="1"/>
    <col min="1544" max="1544" width="9" style="14"/>
    <col min="1545" max="1545" width="15" style="14" customWidth="1"/>
    <col min="1546" max="1548" width="9" style="14"/>
    <col min="1549" max="1551" width="9.375" style="14" customWidth="1"/>
    <col min="1552" max="1554" width="8.75" style="14" customWidth="1"/>
    <col min="1555" max="1555" width="9" style="14"/>
    <col min="1556" max="1556" width="12.75" style="14" customWidth="1"/>
    <col min="1557" max="1558" width="9" style="14"/>
    <col min="1559" max="1559" width="12.75" style="14" customWidth="1"/>
    <col min="1560" max="1561" width="9" style="14"/>
    <col min="1562" max="1562" width="9.375" style="14" customWidth="1"/>
    <col min="1563" max="1563" width="9.25" style="14" customWidth="1"/>
    <col min="1564" max="1565" width="12.75" style="14" customWidth="1"/>
    <col min="1566" max="1569" width="7.625" style="14" customWidth="1"/>
    <col min="1570" max="1571" width="12.75" style="14" customWidth="1"/>
    <col min="1572" max="1575" width="7.625" style="14" customWidth="1"/>
    <col min="1576" max="1577" width="12.75" style="14" customWidth="1"/>
    <col min="1578" max="1581" width="7.625" style="14" customWidth="1"/>
    <col min="1582" max="1784" width="9" style="14"/>
    <col min="1785" max="1785" width="9.75" style="14" bestFit="1" customWidth="1"/>
    <col min="1786" max="1787" width="2.75" style="14" bestFit="1" customWidth="1"/>
    <col min="1788" max="1789" width="2.75" style="14" customWidth="1"/>
    <col min="1790" max="1791" width="2.75" style="14" bestFit="1" customWidth="1"/>
    <col min="1792" max="1793" width="2.75" style="14" customWidth="1"/>
    <col min="1794" max="1794" width="2.75" style="14" bestFit="1" customWidth="1"/>
    <col min="1795" max="1796" width="9" style="14"/>
    <col min="1797" max="1798" width="8.625" style="14" customWidth="1"/>
    <col min="1799" max="1799" width="10.125" style="14" bestFit="1" customWidth="1"/>
    <col min="1800" max="1800" width="9" style="14"/>
    <col min="1801" max="1801" width="15" style="14" customWidth="1"/>
    <col min="1802" max="1804" width="9" style="14"/>
    <col min="1805" max="1807" width="9.375" style="14" customWidth="1"/>
    <col min="1808" max="1810" width="8.75" style="14" customWidth="1"/>
    <col min="1811" max="1811" width="9" style="14"/>
    <col min="1812" max="1812" width="12.75" style="14" customWidth="1"/>
    <col min="1813" max="1814" width="9" style="14"/>
    <col min="1815" max="1815" width="12.75" style="14" customWidth="1"/>
    <col min="1816" max="1817" width="9" style="14"/>
    <col min="1818" max="1818" width="9.375" style="14" customWidth="1"/>
    <col min="1819" max="1819" width="9.25" style="14" customWidth="1"/>
    <col min="1820" max="1821" width="12.75" style="14" customWidth="1"/>
    <col min="1822" max="1825" width="7.625" style="14" customWidth="1"/>
    <col min="1826" max="1827" width="12.75" style="14" customWidth="1"/>
    <col min="1828" max="1831" width="7.625" style="14" customWidth="1"/>
    <col min="1832" max="1833" width="12.75" style="14" customWidth="1"/>
    <col min="1834" max="1837" width="7.625" style="14" customWidth="1"/>
    <col min="1838" max="2040" width="9" style="14"/>
    <col min="2041" max="2041" width="9.75" style="14" bestFit="1" customWidth="1"/>
    <col min="2042" max="2043" width="2.75" style="14" bestFit="1" customWidth="1"/>
    <col min="2044" max="2045" width="2.75" style="14" customWidth="1"/>
    <col min="2046" max="2047" width="2.75" style="14" bestFit="1" customWidth="1"/>
    <col min="2048" max="2049" width="2.75" style="14" customWidth="1"/>
    <col min="2050" max="2050" width="2.75" style="14" bestFit="1" customWidth="1"/>
    <col min="2051" max="2052" width="9" style="14"/>
    <col min="2053" max="2054" width="8.625" style="14" customWidth="1"/>
    <col min="2055" max="2055" width="10.125" style="14" bestFit="1" customWidth="1"/>
    <col min="2056" max="2056" width="9" style="14"/>
    <col min="2057" max="2057" width="15" style="14" customWidth="1"/>
    <col min="2058" max="2060" width="9" style="14"/>
    <col min="2061" max="2063" width="9.375" style="14" customWidth="1"/>
    <col min="2064" max="2066" width="8.75" style="14" customWidth="1"/>
    <col min="2067" max="2067" width="9" style="14"/>
    <col min="2068" max="2068" width="12.75" style="14" customWidth="1"/>
    <col min="2069" max="2070" width="9" style="14"/>
    <col min="2071" max="2071" width="12.75" style="14" customWidth="1"/>
    <col min="2072" max="2073" width="9" style="14"/>
    <col min="2074" max="2074" width="9.375" style="14" customWidth="1"/>
    <col min="2075" max="2075" width="9.25" style="14" customWidth="1"/>
    <col min="2076" max="2077" width="12.75" style="14" customWidth="1"/>
    <col min="2078" max="2081" width="7.625" style="14" customWidth="1"/>
    <col min="2082" max="2083" width="12.75" style="14" customWidth="1"/>
    <col min="2084" max="2087" width="7.625" style="14" customWidth="1"/>
    <col min="2088" max="2089" width="12.75" style="14" customWidth="1"/>
    <col min="2090" max="2093" width="7.625" style="14" customWidth="1"/>
    <col min="2094" max="2296" width="9" style="14"/>
    <col min="2297" max="2297" width="9.75" style="14" bestFit="1" customWidth="1"/>
    <col min="2298" max="2299" width="2.75" style="14" bestFit="1" customWidth="1"/>
    <col min="2300" max="2301" width="2.75" style="14" customWidth="1"/>
    <col min="2302" max="2303" width="2.75" style="14" bestFit="1" customWidth="1"/>
    <col min="2304" max="2305" width="2.75" style="14" customWidth="1"/>
    <col min="2306" max="2306" width="2.75" style="14" bestFit="1" customWidth="1"/>
    <col min="2307" max="2308" width="9" style="14"/>
    <col min="2309" max="2310" width="8.625" style="14" customWidth="1"/>
    <col min="2311" max="2311" width="10.125" style="14" bestFit="1" customWidth="1"/>
    <col min="2312" max="2312" width="9" style="14"/>
    <col min="2313" max="2313" width="15" style="14" customWidth="1"/>
    <col min="2314" max="2316" width="9" style="14"/>
    <col min="2317" max="2319" width="9.375" style="14" customWidth="1"/>
    <col min="2320" max="2322" width="8.75" style="14" customWidth="1"/>
    <col min="2323" max="2323" width="9" style="14"/>
    <col min="2324" max="2324" width="12.75" style="14" customWidth="1"/>
    <col min="2325" max="2326" width="9" style="14"/>
    <col min="2327" max="2327" width="12.75" style="14" customWidth="1"/>
    <col min="2328" max="2329" width="9" style="14"/>
    <col min="2330" max="2330" width="9.375" style="14" customWidth="1"/>
    <col min="2331" max="2331" width="9.25" style="14" customWidth="1"/>
    <col min="2332" max="2333" width="12.75" style="14" customWidth="1"/>
    <col min="2334" max="2337" width="7.625" style="14" customWidth="1"/>
    <col min="2338" max="2339" width="12.75" style="14" customWidth="1"/>
    <col min="2340" max="2343" width="7.625" style="14" customWidth="1"/>
    <col min="2344" max="2345" width="12.75" style="14" customWidth="1"/>
    <col min="2346" max="2349" width="7.625" style="14" customWidth="1"/>
    <col min="2350" max="2552" width="9" style="14"/>
    <col min="2553" max="2553" width="9.75" style="14" bestFit="1" customWidth="1"/>
    <col min="2554" max="2555" width="2.75" style="14" bestFit="1" customWidth="1"/>
    <col min="2556" max="2557" width="2.75" style="14" customWidth="1"/>
    <col min="2558" max="2559" width="2.75" style="14" bestFit="1" customWidth="1"/>
    <col min="2560" max="2561" width="2.75" style="14" customWidth="1"/>
    <col min="2562" max="2562" width="2.75" style="14" bestFit="1" customWidth="1"/>
    <col min="2563" max="2564" width="9" style="14"/>
    <col min="2565" max="2566" width="8.625" style="14" customWidth="1"/>
    <col min="2567" max="2567" width="10.125" style="14" bestFit="1" customWidth="1"/>
    <col min="2568" max="2568" width="9" style="14"/>
    <col min="2569" max="2569" width="15" style="14" customWidth="1"/>
    <col min="2570" max="2572" width="9" style="14"/>
    <col min="2573" max="2575" width="9.375" style="14" customWidth="1"/>
    <col min="2576" max="2578" width="8.75" style="14" customWidth="1"/>
    <col min="2579" max="2579" width="9" style="14"/>
    <col min="2580" max="2580" width="12.75" style="14" customWidth="1"/>
    <col min="2581" max="2582" width="9" style="14"/>
    <col min="2583" max="2583" width="12.75" style="14" customWidth="1"/>
    <col min="2584" max="2585" width="9" style="14"/>
    <col min="2586" max="2586" width="9.375" style="14" customWidth="1"/>
    <col min="2587" max="2587" width="9.25" style="14" customWidth="1"/>
    <col min="2588" max="2589" width="12.75" style="14" customWidth="1"/>
    <col min="2590" max="2593" width="7.625" style="14" customWidth="1"/>
    <col min="2594" max="2595" width="12.75" style="14" customWidth="1"/>
    <col min="2596" max="2599" width="7.625" style="14" customWidth="1"/>
    <col min="2600" max="2601" width="12.75" style="14" customWidth="1"/>
    <col min="2602" max="2605" width="7.625" style="14" customWidth="1"/>
    <col min="2606" max="2808" width="9" style="14"/>
    <col min="2809" max="2809" width="9.75" style="14" bestFit="1" customWidth="1"/>
    <col min="2810" max="2811" width="2.75" style="14" bestFit="1" customWidth="1"/>
    <col min="2812" max="2813" width="2.75" style="14" customWidth="1"/>
    <col min="2814" max="2815" width="2.75" style="14" bestFit="1" customWidth="1"/>
    <col min="2816" max="2817" width="2.75" style="14" customWidth="1"/>
    <col min="2818" max="2818" width="2.75" style="14" bestFit="1" customWidth="1"/>
    <col min="2819" max="2820" width="9" style="14"/>
    <col min="2821" max="2822" width="8.625" style="14" customWidth="1"/>
    <col min="2823" max="2823" width="10.125" style="14" bestFit="1" customWidth="1"/>
    <col min="2824" max="2824" width="9" style="14"/>
    <col min="2825" max="2825" width="15" style="14" customWidth="1"/>
    <col min="2826" max="2828" width="9" style="14"/>
    <col min="2829" max="2831" width="9.375" style="14" customWidth="1"/>
    <col min="2832" max="2834" width="8.75" style="14" customWidth="1"/>
    <col min="2835" max="2835" width="9" style="14"/>
    <col min="2836" max="2836" width="12.75" style="14" customWidth="1"/>
    <col min="2837" max="2838" width="9" style="14"/>
    <col min="2839" max="2839" width="12.75" style="14" customWidth="1"/>
    <col min="2840" max="2841" width="9" style="14"/>
    <col min="2842" max="2842" width="9.375" style="14" customWidth="1"/>
    <col min="2843" max="2843" width="9.25" style="14" customWidth="1"/>
    <col min="2844" max="2845" width="12.75" style="14" customWidth="1"/>
    <col min="2846" max="2849" width="7.625" style="14" customWidth="1"/>
    <col min="2850" max="2851" width="12.75" style="14" customWidth="1"/>
    <col min="2852" max="2855" width="7.625" style="14" customWidth="1"/>
    <col min="2856" max="2857" width="12.75" style="14" customWidth="1"/>
    <col min="2858" max="2861" width="7.625" style="14" customWidth="1"/>
    <col min="2862" max="3064" width="9" style="14"/>
    <col min="3065" max="3065" width="9.75" style="14" bestFit="1" customWidth="1"/>
    <col min="3066" max="3067" width="2.75" style="14" bestFit="1" customWidth="1"/>
    <col min="3068" max="3069" width="2.75" style="14" customWidth="1"/>
    <col min="3070" max="3071" width="2.75" style="14" bestFit="1" customWidth="1"/>
    <col min="3072" max="3073" width="2.75" style="14" customWidth="1"/>
    <col min="3074" max="3074" width="2.75" style="14" bestFit="1" customWidth="1"/>
    <col min="3075" max="3076" width="9" style="14"/>
    <col min="3077" max="3078" width="8.625" style="14" customWidth="1"/>
    <col min="3079" max="3079" width="10.125" style="14" bestFit="1" customWidth="1"/>
    <col min="3080" max="3080" width="9" style="14"/>
    <col min="3081" max="3081" width="15" style="14" customWidth="1"/>
    <col min="3082" max="3084" width="9" style="14"/>
    <col min="3085" max="3087" width="9.375" style="14" customWidth="1"/>
    <col min="3088" max="3090" width="8.75" style="14" customWidth="1"/>
    <col min="3091" max="3091" width="9" style="14"/>
    <col min="3092" max="3092" width="12.75" style="14" customWidth="1"/>
    <col min="3093" max="3094" width="9" style="14"/>
    <col min="3095" max="3095" width="12.75" style="14" customWidth="1"/>
    <col min="3096" max="3097" width="9" style="14"/>
    <col min="3098" max="3098" width="9.375" style="14" customWidth="1"/>
    <col min="3099" max="3099" width="9.25" style="14" customWidth="1"/>
    <col min="3100" max="3101" width="12.75" style="14" customWidth="1"/>
    <col min="3102" max="3105" width="7.625" style="14" customWidth="1"/>
    <col min="3106" max="3107" width="12.75" style="14" customWidth="1"/>
    <col min="3108" max="3111" width="7.625" style="14" customWidth="1"/>
    <col min="3112" max="3113" width="12.75" style="14" customWidth="1"/>
    <col min="3114" max="3117" width="7.625" style="14" customWidth="1"/>
    <col min="3118" max="3320" width="9" style="14"/>
    <col min="3321" max="3321" width="9.75" style="14" bestFit="1" customWidth="1"/>
    <col min="3322" max="3323" width="2.75" style="14" bestFit="1" customWidth="1"/>
    <col min="3324" max="3325" width="2.75" style="14" customWidth="1"/>
    <col min="3326" max="3327" width="2.75" style="14" bestFit="1" customWidth="1"/>
    <col min="3328" max="3329" width="2.75" style="14" customWidth="1"/>
    <col min="3330" max="3330" width="2.75" style="14" bestFit="1" customWidth="1"/>
    <col min="3331" max="3332" width="9" style="14"/>
    <col min="3333" max="3334" width="8.625" style="14" customWidth="1"/>
    <col min="3335" max="3335" width="10.125" style="14" bestFit="1" customWidth="1"/>
    <col min="3336" max="3336" width="9" style="14"/>
    <col min="3337" max="3337" width="15" style="14" customWidth="1"/>
    <col min="3338" max="3340" width="9" style="14"/>
    <col min="3341" max="3343" width="9.375" style="14" customWidth="1"/>
    <col min="3344" max="3346" width="8.75" style="14" customWidth="1"/>
    <col min="3347" max="3347" width="9" style="14"/>
    <col min="3348" max="3348" width="12.75" style="14" customWidth="1"/>
    <col min="3349" max="3350" width="9" style="14"/>
    <col min="3351" max="3351" width="12.75" style="14" customWidth="1"/>
    <col min="3352" max="3353" width="9" style="14"/>
    <col min="3354" max="3354" width="9.375" style="14" customWidth="1"/>
    <col min="3355" max="3355" width="9.25" style="14" customWidth="1"/>
    <col min="3356" max="3357" width="12.75" style="14" customWidth="1"/>
    <col min="3358" max="3361" width="7.625" style="14" customWidth="1"/>
    <col min="3362" max="3363" width="12.75" style="14" customWidth="1"/>
    <col min="3364" max="3367" width="7.625" style="14" customWidth="1"/>
    <col min="3368" max="3369" width="12.75" style="14" customWidth="1"/>
    <col min="3370" max="3373" width="7.625" style="14" customWidth="1"/>
    <col min="3374" max="3576" width="9" style="14"/>
    <col min="3577" max="3577" width="9.75" style="14" bestFit="1" customWidth="1"/>
    <col min="3578" max="3579" width="2.75" style="14" bestFit="1" customWidth="1"/>
    <col min="3580" max="3581" width="2.75" style="14" customWidth="1"/>
    <col min="3582" max="3583" width="2.75" style="14" bestFit="1" customWidth="1"/>
    <col min="3584" max="3585" width="2.75" style="14" customWidth="1"/>
    <col min="3586" max="3586" width="2.75" style="14" bestFit="1" customWidth="1"/>
    <col min="3587" max="3588" width="9" style="14"/>
    <col min="3589" max="3590" width="8.625" style="14" customWidth="1"/>
    <col min="3591" max="3591" width="10.125" style="14" bestFit="1" customWidth="1"/>
    <col min="3592" max="3592" width="9" style="14"/>
    <col min="3593" max="3593" width="15" style="14" customWidth="1"/>
    <col min="3594" max="3596" width="9" style="14"/>
    <col min="3597" max="3599" width="9.375" style="14" customWidth="1"/>
    <col min="3600" max="3602" width="8.75" style="14" customWidth="1"/>
    <col min="3603" max="3603" width="9" style="14"/>
    <col min="3604" max="3604" width="12.75" style="14" customWidth="1"/>
    <col min="3605" max="3606" width="9" style="14"/>
    <col min="3607" max="3607" width="12.75" style="14" customWidth="1"/>
    <col min="3608" max="3609" width="9" style="14"/>
    <col min="3610" max="3610" width="9.375" style="14" customWidth="1"/>
    <col min="3611" max="3611" width="9.25" style="14" customWidth="1"/>
    <col min="3612" max="3613" width="12.75" style="14" customWidth="1"/>
    <col min="3614" max="3617" width="7.625" style="14" customWidth="1"/>
    <col min="3618" max="3619" width="12.75" style="14" customWidth="1"/>
    <col min="3620" max="3623" width="7.625" style="14" customWidth="1"/>
    <col min="3624" max="3625" width="12.75" style="14" customWidth="1"/>
    <col min="3626" max="3629" width="7.625" style="14" customWidth="1"/>
    <col min="3630" max="3832" width="9" style="14"/>
    <col min="3833" max="3833" width="9.75" style="14" bestFit="1" customWidth="1"/>
    <col min="3834" max="3835" width="2.75" style="14" bestFit="1" customWidth="1"/>
    <col min="3836" max="3837" width="2.75" style="14" customWidth="1"/>
    <col min="3838" max="3839" width="2.75" style="14" bestFit="1" customWidth="1"/>
    <col min="3840" max="3841" width="2.75" style="14" customWidth="1"/>
    <col min="3842" max="3842" width="2.75" style="14" bestFit="1" customWidth="1"/>
    <col min="3843" max="3844" width="9" style="14"/>
    <col min="3845" max="3846" width="8.625" style="14" customWidth="1"/>
    <col min="3847" max="3847" width="10.125" style="14" bestFit="1" customWidth="1"/>
    <col min="3848" max="3848" width="9" style="14"/>
    <col min="3849" max="3849" width="15" style="14" customWidth="1"/>
    <col min="3850" max="3852" width="9" style="14"/>
    <col min="3853" max="3855" width="9.375" style="14" customWidth="1"/>
    <col min="3856" max="3858" width="8.75" style="14" customWidth="1"/>
    <col min="3859" max="3859" width="9" style="14"/>
    <col min="3860" max="3860" width="12.75" style="14" customWidth="1"/>
    <col min="3861" max="3862" width="9" style="14"/>
    <col min="3863" max="3863" width="12.75" style="14" customWidth="1"/>
    <col min="3864" max="3865" width="9" style="14"/>
    <col min="3866" max="3866" width="9.375" style="14" customWidth="1"/>
    <col min="3867" max="3867" width="9.25" style="14" customWidth="1"/>
    <col min="3868" max="3869" width="12.75" style="14" customWidth="1"/>
    <col min="3870" max="3873" width="7.625" style="14" customWidth="1"/>
    <col min="3874" max="3875" width="12.75" style="14" customWidth="1"/>
    <col min="3876" max="3879" width="7.625" style="14" customWidth="1"/>
    <col min="3880" max="3881" width="12.75" style="14" customWidth="1"/>
    <col min="3882" max="3885" width="7.625" style="14" customWidth="1"/>
    <col min="3886" max="4088" width="9" style="14"/>
    <col min="4089" max="4089" width="9.75" style="14" bestFit="1" customWidth="1"/>
    <col min="4090" max="4091" width="2.75" style="14" bestFit="1" customWidth="1"/>
    <col min="4092" max="4093" width="2.75" style="14" customWidth="1"/>
    <col min="4094" max="4095" width="2.75" style="14" bestFit="1" customWidth="1"/>
    <col min="4096" max="4097" width="2.75" style="14" customWidth="1"/>
    <col min="4098" max="4098" width="2.75" style="14" bestFit="1" customWidth="1"/>
    <col min="4099" max="4100" width="9" style="14"/>
    <col min="4101" max="4102" width="8.625" style="14" customWidth="1"/>
    <col min="4103" max="4103" width="10.125" style="14" bestFit="1" customWidth="1"/>
    <col min="4104" max="4104" width="9" style="14"/>
    <col min="4105" max="4105" width="15" style="14" customWidth="1"/>
    <col min="4106" max="4108" width="9" style="14"/>
    <col min="4109" max="4111" width="9.375" style="14" customWidth="1"/>
    <col min="4112" max="4114" width="8.75" style="14" customWidth="1"/>
    <col min="4115" max="4115" width="9" style="14"/>
    <col min="4116" max="4116" width="12.75" style="14" customWidth="1"/>
    <col min="4117" max="4118" width="9" style="14"/>
    <col min="4119" max="4119" width="12.75" style="14" customWidth="1"/>
    <col min="4120" max="4121" width="9" style="14"/>
    <col min="4122" max="4122" width="9.375" style="14" customWidth="1"/>
    <col min="4123" max="4123" width="9.25" style="14" customWidth="1"/>
    <col min="4124" max="4125" width="12.75" style="14" customWidth="1"/>
    <col min="4126" max="4129" width="7.625" style="14" customWidth="1"/>
    <col min="4130" max="4131" width="12.75" style="14" customWidth="1"/>
    <col min="4132" max="4135" width="7.625" style="14" customWidth="1"/>
    <col min="4136" max="4137" width="12.75" style="14" customWidth="1"/>
    <col min="4138" max="4141" width="7.625" style="14" customWidth="1"/>
    <col min="4142" max="4344" width="9" style="14"/>
    <col min="4345" max="4345" width="9.75" style="14" bestFit="1" customWidth="1"/>
    <col min="4346" max="4347" width="2.75" style="14" bestFit="1" customWidth="1"/>
    <col min="4348" max="4349" width="2.75" style="14" customWidth="1"/>
    <col min="4350" max="4351" width="2.75" style="14" bestFit="1" customWidth="1"/>
    <col min="4352" max="4353" width="2.75" style="14" customWidth="1"/>
    <col min="4354" max="4354" width="2.75" style="14" bestFit="1" customWidth="1"/>
    <col min="4355" max="4356" width="9" style="14"/>
    <col min="4357" max="4358" width="8.625" style="14" customWidth="1"/>
    <col min="4359" max="4359" width="10.125" style="14" bestFit="1" customWidth="1"/>
    <col min="4360" max="4360" width="9" style="14"/>
    <col min="4361" max="4361" width="15" style="14" customWidth="1"/>
    <col min="4362" max="4364" width="9" style="14"/>
    <col min="4365" max="4367" width="9.375" style="14" customWidth="1"/>
    <col min="4368" max="4370" width="8.75" style="14" customWidth="1"/>
    <col min="4371" max="4371" width="9" style="14"/>
    <col min="4372" max="4372" width="12.75" style="14" customWidth="1"/>
    <col min="4373" max="4374" width="9" style="14"/>
    <col min="4375" max="4375" width="12.75" style="14" customWidth="1"/>
    <col min="4376" max="4377" width="9" style="14"/>
    <col min="4378" max="4378" width="9.375" style="14" customWidth="1"/>
    <col min="4379" max="4379" width="9.25" style="14" customWidth="1"/>
    <col min="4380" max="4381" width="12.75" style="14" customWidth="1"/>
    <col min="4382" max="4385" width="7.625" style="14" customWidth="1"/>
    <col min="4386" max="4387" width="12.75" style="14" customWidth="1"/>
    <col min="4388" max="4391" width="7.625" style="14" customWidth="1"/>
    <col min="4392" max="4393" width="12.75" style="14" customWidth="1"/>
    <col min="4394" max="4397" width="7.625" style="14" customWidth="1"/>
    <col min="4398" max="4600" width="9" style="14"/>
    <col min="4601" max="4601" width="9.75" style="14" bestFit="1" customWidth="1"/>
    <col min="4602" max="4603" width="2.75" style="14" bestFit="1" customWidth="1"/>
    <col min="4604" max="4605" width="2.75" style="14" customWidth="1"/>
    <col min="4606" max="4607" width="2.75" style="14" bestFit="1" customWidth="1"/>
    <col min="4608" max="4609" width="2.75" style="14" customWidth="1"/>
    <col min="4610" max="4610" width="2.75" style="14" bestFit="1" customWidth="1"/>
    <col min="4611" max="4612" width="9" style="14"/>
    <col min="4613" max="4614" width="8.625" style="14" customWidth="1"/>
    <col min="4615" max="4615" width="10.125" style="14" bestFit="1" customWidth="1"/>
    <col min="4616" max="4616" width="9" style="14"/>
    <col min="4617" max="4617" width="15" style="14" customWidth="1"/>
    <col min="4618" max="4620" width="9" style="14"/>
    <col min="4621" max="4623" width="9.375" style="14" customWidth="1"/>
    <col min="4624" max="4626" width="8.75" style="14" customWidth="1"/>
    <col min="4627" max="4627" width="9" style="14"/>
    <col min="4628" max="4628" width="12.75" style="14" customWidth="1"/>
    <col min="4629" max="4630" width="9" style="14"/>
    <col min="4631" max="4631" width="12.75" style="14" customWidth="1"/>
    <col min="4632" max="4633" width="9" style="14"/>
    <col min="4634" max="4634" width="9.375" style="14" customWidth="1"/>
    <col min="4635" max="4635" width="9.25" style="14" customWidth="1"/>
    <col min="4636" max="4637" width="12.75" style="14" customWidth="1"/>
    <col min="4638" max="4641" width="7.625" style="14" customWidth="1"/>
    <col min="4642" max="4643" width="12.75" style="14" customWidth="1"/>
    <col min="4644" max="4647" width="7.625" style="14" customWidth="1"/>
    <col min="4648" max="4649" width="12.75" style="14" customWidth="1"/>
    <col min="4650" max="4653" width="7.625" style="14" customWidth="1"/>
    <col min="4654" max="4856" width="9" style="14"/>
    <col min="4857" max="4857" width="9.75" style="14" bestFit="1" customWidth="1"/>
    <col min="4858" max="4859" width="2.75" style="14" bestFit="1" customWidth="1"/>
    <col min="4860" max="4861" width="2.75" style="14" customWidth="1"/>
    <col min="4862" max="4863" width="2.75" style="14" bestFit="1" customWidth="1"/>
    <col min="4864" max="4865" width="2.75" style="14" customWidth="1"/>
    <col min="4866" max="4866" width="2.75" style="14" bestFit="1" customWidth="1"/>
    <col min="4867" max="4868" width="9" style="14"/>
    <col min="4869" max="4870" width="8.625" style="14" customWidth="1"/>
    <col min="4871" max="4871" width="10.125" style="14" bestFit="1" customWidth="1"/>
    <col min="4872" max="4872" width="9" style="14"/>
    <col min="4873" max="4873" width="15" style="14" customWidth="1"/>
    <col min="4874" max="4876" width="9" style="14"/>
    <col min="4877" max="4879" width="9.375" style="14" customWidth="1"/>
    <col min="4880" max="4882" width="8.75" style="14" customWidth="1"/>
    <col min="4883" max="4883" width="9" style="14"/>
    <col min="4884" max="4884" width="12.75" style="14" customWidth="1"/>
    <col min="4885" max="4886" width="9" style="14"/>
    <col min="4887" max="4887" width="12.75" style="14" customWidth="1"/>
    <col min="4888" max="4889" width="9" style="14"/>
    <col min="4890" max="4890" width="9.375" style="14" customWidth="1"/>
    <col min="4891" max="4891" width="9.25" style="14" customWidth="1"/>
    <col min="4892" max="4893" width="12.75" style="14" customWidth="1"/>
    <col min="4894" max="4897" width="7.625" style="14" customWidth="1"/>
    <col min="4898" max="4899" width="12.75" style="14" customWidth="1"/>
    <col min="4900" max="4903" width="7.625" style="14" customWidth="1"/>
    <col min="4904" max="4905" width="12.75" style="14" customWidth="1"/>
    <col min="4906" max="4909" width="7.625" style="14" customWidth="1"/>
    <col min="4910" max="5112" width="9" style="14"/>
    <col min="5113" max="5113" width="9.75" style="14" bestFit="1" customWidth="1"/>
    <col min="5114" max="5115" width="2.75" style="14" bestFit="1" customWidth="1"/>
    <col min="5116" max="5117" width="2.75" style="14" customWidth="1"/>
    <col min="5118" max="5119" width="2.75" style="14" bestFit="1" customWidth="1"/>
    <col min="5120" max="5121" width="2.75" style="14" customWidth="1"/>
    <col min="5122" max="5122" width="2.75" style="14" bestFit="1" customWidth="1"/>
    <col min="5123" max="5124" width="9" style="14"/>
    <col min="5125" max="5126" width="8.625" style="14" customWidth="1"/>
    <col min="5127" max="5127" width="10.125" style="14" bestFit="1" customWidth="1"/>
    <col min="5128" max="5128" width="9" style="14"/>
    <col min="5129" max="5129" width="15" style="14" customWidth="1"/>
    <col min="5130" max="5132" width="9" style="14"/>
    <col min="5133" max="5135" width="9.375" style="14" customWidth="1"/>
    <col min="5136" max="5138" width="8.75" style="14" customWidth="1"/>
    <col min="5139" max="5139" width="9" style="14"/>
    <col min="5140" max="5140" width="12.75" style="14" customWidth="1"/>
    <col min="5141" max="5142" width="9" style="14"/>
    <col min="5143" max="5143" width="12.75" style="14" customWidth="1"/>
    <col min="5144" max="5145" width="9" style="14"/>
    <col min="5146" max="5146" width="9.375" style="14" customWidth="1"/>
    <col min="5147" max="5147" width="9.25" style="14" customWidth="1"/>
    <col min="5148" max="5149" width="12.75" style="14" customWidth="1"/>
    <col min="5150" max="5153" width="7.625" style="14" customWidth="1"/>
    <col min="5154" max="5155" width="12.75" style="14" customWidth="1"/>
    <col min="5156" max="5159" width="7.625" style="14" customWidth="1"/>
    <col min="5160" max="5161" width="12.75" style="14" customWidth="1"/>
    <col min="5162" max="5165" width="7.625" style="14" customWidth="1"/>
    <col min="5166" max="5368" width="9" style="14"/>
    <col min="5369" max="5369" width="9.75" style="14" bestFit="1" customWidth="1"/>
    <col min="5370" max="5371" width="2.75" style="14" bestFit="1" customWidth="1"/>
    <col min="5372" max="5373" width="2.75" style="14" customWidth="1"/>
    <col min="5374" max="5375" width="2.75" style="14" bestFit="1" customWidth="1"/>
    <col min="5376" max="5377" width="2.75" style="14" customWidth="1"/>
    <col min="5378" max="5378" width="2.75" style="14" bestFit="1" customWidth="1"/>
    <col min="5379" max="5380" width="9" style="14"/>
    <col min="5381" max="5382" width="8.625" style="14" customWidth="1"/>
    <col min="5383" max="5383" width="10.125" style="14" bestFit="1" customWidth="1"/>
    <col min="5384" max="5384" width="9" style="14"/>
    <col min="5385" max="5385" width="15" style="14" customWidth="1"/>
    <col min="5386" max="5388" width="9" style="14"/>
    <col min="5389" max="5391" width="9.375" style="14" customWidth="1"/>
    <col min="5392" max="5394" width="8.75" style="14" customWidth="1"/>
    <col min="5395" max="5395" width="9" style="14"/>
    <col min="5396" max="5396" width="12.75" style="14" customWidth="1"/>
    <col min="5397" max="5398" width="9" style="14"/>
    <col min="5399" max="5399" width="12.75" style="14" customWidth="1"/>
    <col min="5400" max="5401" width="9" style="14"/>
    <col min="5402" max="5402" width="9.375" style="14" customWidth="1"/>
    <col min="5403" max="5403" width="9.25" style="14" customWidth="1"/>
    <col min="5404" max="5405" width="12.75" style="14" customWidth="1"/>
    <col min="5406" max="5409" width="7.625" style="14" customWidth="1"/>
    <col min="5410" max="5411" width="12.75" style="14" customWidth="1"/>
    <col min="5412" max="5415" width="7.625" style="14" customWidth="1"/>
    <col min="5416" max="5417" width="12.75" style="14" customWidth="1"/>
    <col min="5418" max="5421" width="7.625" style="14" customWidth="1"/>
    <col min="5422" max="5624" width="9" style="14"/>
    <col min="5625" max="5625" width="9.75" style="14" bestFit="1" customWidth="1"/>
    <col min="5626" max="5627" width="2.75" style="14" bestFit="1" customWidth="1"/>
    <col min="5628" max="5629" width="2.75" style="14" customWidth="1"/>
    <col min="5630" max="5631" width="2.75" style="14" bestFit="1" customWidth="1"/>
    <col min="5632" max="5633" width="2.75" style="14" customWidth="1"/>
    <col min="5634" max="5634" width="2.75" style="14" bestFit="1" customWidth="1"/>
    <col min="5635" max="5636" width="9" style="14"/>
    <col min="5637" max="5638" width="8.625" style="14" customWidth="1"/>
    <col min="5639" max="5639" width="10.125" style="14" bestFit="1" customWidth="1"/>
    <col min="5640" max="5640" width="9" style="14"/>
    <col min="5641" max="5641" width="15" style="14" customWidth="1"/>
    <col min="5642" max="5644" width="9" style="14"/>
    <col min="5645" max="5647" width="9.375" style="14" customWidth="1"/>
    <col min="5648" max="5650" width="8.75" style="14" customWidth="1"/>
    <col min="5651" max="5651" width="9" style="14"/>
    <col min="5652" max="5652" width="12.75" style="14" customWidth="1"/>
    <col min="5653" max="5654" width="9" style="14"/>
    <col min="5655" max="5655" width="12.75" style="14" customWidth="1"/>
    <col min="5656" max="5657" width="9" style="14"/>
    <col min="5658" max="5658" width="9.375" style="14" customWidth="1"/>
    <col min="5659" max="5659" width="9.25" style="14" customWidth="1"/>
    <col min="5660" max="5661" width="12.75" style="14" customWidth="1"/>
    <col min="5662" max="5665" width="7.625" style="14" customWidth="1"/>
    <col min="5666" max="5667" width="12.75" style="14" customWidth="1"/>
    <col min="5668" max="5671" width="7.625" style="14" customWidth="1"/>
    <col min="5672" max="5673" width="12.75" style="14" customWidth="1"/>
    <col min="5674" max="5677" width="7.625" style="14" customWidth="1"/>
    <col min="5678" max="5880" width="9" style="14"/>
    <col min="5881" max="5881" width="9.75" style="14" bestFit="1" customWidth="1"/>
    <col min="5882" max="5883" width="2.75" style="14" bestFit="1" customWidth="1"/>
    <col min="5884" max="5885" width="2.75" style="14" customWidth="1"/>
    <col min="5886" max="5887" width="2.75" style="14" bestFit="1" customWidth="1"/>
    <col min="5888" max="5889" width="2.75" style="14" customWidth="1"/>
    <col min="5890" max="5890" width="2.75" style="14" bestFit="1" customWidth="1"/>
    <col min="5891" max="5892" width="9" style="14"/>
    <col min="5893" max="5894" width="8.625" style="14" customWidth="1"/>
    <col min="5895" max="5895" width="10.125" style="14" bestFit="1" customWidth="1"/>
    <col min="5896" max="5896" width="9" style="14"/>
    <col min="5897" max="5897" width="15" style="14" customWidth="1"/>
    <col min="5898" max="5900" width="9" style="14"/>
    <col min="5901" max="5903" width="9.375" style="14" customWidth="1"/>
    <col min="5904" max="5906" width="8.75" style="14" customWidth="1"/>
    <col min="5907" max="5907" width="9" style="14"/>
    <col min="5908" max="5908" width="12.75" style="14" customWidth="1"/>
    <col min="5909" max="5910" width="9" style="14"/>
    <col min="5911" max="5911" width="12.75" style="14" customWidth="1"/>
    <col min="5912" max="5913" width="9" style="14"/>
    <col min="5914" max="5914" width="9.375" style="14" customWidth="1"/>
    <col min="5915" max="5915" width="9.25" style="14" customWidth="1"/>
    <col min="5916" max="5917" width="12.75" style="14" customWidth="1"/>
    <col min="5918" max="5921" width="7.625" style="14" customWidth="1"/>
    <col min="5922" max="5923" width="12.75" style="14" customWidth="1"/>
    <col min="5924" max="5927" width="7.625" style="14" customWidth="1"/>
    <col min="5928" max="5929" width="12.75" style="14" customWidth="1"/>
    <col min="5930" max="5933" width="7.625" style="14" customWidth="1"/>
    <col min="5934" max="6136" width="9" style="14"/>
    <col min="6137" max="6137" width="9.75" style="14" bestFit="1" customWidth="1"/>
    <col min="6138" max="6139" width="2.75" style="14" bestFit="1" customWidth="1"/>
    <col min="6140" max="6141" width="2.75" style="14" customWidth="1"/>
    <col min="6142" max="6143" width="2.75" style="14" bestFit="1" customWidth="1"/>
    <col min="6144" max="6145" width="2.75" style="14" customWidth="1"/>
    <col min="6146" max="6146" width="2.75" style="14" bestFit="1" customWidth="1"/>
    <col min="6147" max="6148" width="9" style="14"/>
    <col min="6149" max="6150" width="8.625" style="14" customWidth="1"/>
    <col min="6151" max="6151" width="10.125" style="14" bestFit="1" customWidth="1"/>
    <col min="6152" max="6152" width="9" style="14"/>
    <col min="6153" max="6153" width="15" style="14" customWidth="1"/>
    <col min="6154" max="6156" width="9" style="14"/>
    <col min="6157" max="6159" width="9.375" style="14" customWidth="1"/>
    <col min="6160" max="6162" width="8.75" style="14" customWidth="1"/>
    <col min="6163" max="6163" width="9" style="14"/>
    <col min="6164" max="6164" width="12.75" style="14" customWidth="1"/>
    <col min="6165" max="6166" width="9" style="14"/>
    <col min="6167" max="6167" width="12.75" style="14" customWidth="1"/>
    <col min="6168" max="6169" width="9" style="14"/>
    <col min="6170" max="6170" width="9.375" style="14" customWidth="1"/>
    <col min="6171" max="6171" width="9.25" style="14" customWidth="1"/>
    <col min="6172" max="6173" width="12.75" style="14" customWidth="1"/>
    <col min="6174" max="6177" width="7.625" style="14" customWidth="1"/>
    <col min="6178" max="6179" width="12.75" style="14" customWidth="1"/>
    <col min="6180" max="6183" width="7.625" style="14" customWidth="1"/>
    <col min="6184" max="6185" width="12.75" style="14" customWidth="1"/>
    <col min="6186" max="6189" width="7.625" style="14" customWidth="1"/>
    <col min="6190" max="6392" width="9" style="14"/>
    <col min="6393" max="6393" width="9.75" style="14" bestFit="1" customWidth="1"/>
    <col min="6394" max="6395" width="2.75" style="14" bestFit="1" customWidth="1"/>
    <col min="6396" max="6397" width="2.75" style="14" customWidth="1"/>
    <col min="6398" max="6399" width="2.75" style="14" bestFit="1" customWidth="1"/>
    <col min="6400" max="6401" width="2.75" style="14" customWidth="1"/>
    <col min="6402" max="6402" width="2.75" style="14" bestFit="1" customWidth="1"/>
    <col min="6403" max="6404" width="9" style="14"/>
    <col min="6405" max="6406" width="8.625" style="14" customWidth="1"/>
    <col min="6407" max="6407" width="10.125" style="14" bestFit="1" customWidth="1"/>
    <col min="6408" max="6408" width="9" style="14"/>
    <col min="6409" max="6409" width="15" style="14" customWidth="1"/>
    <col min="6410" max="6412" width="9" style="14"/>
    <col min="6413" max="6415" width="9.375" style="14" customWidth="1"/>
    <col min="6416" max="6418" width="8.75" style="14" customWidth="1"/>
    <col min="6419" max="6419" width="9" style="14"/>
    <col min="6420" max="6420" width="12.75" style="14" customWidth="1"/>
    <col min="6421" max="6422" width="9" style="14"/>
    <col min="6423" max="6423" width="12.75" style="14" customWidth="1"/>
    <col min="6424" max="6425" width="9" style="14"/>
    <col min="6426" max="6426" width="9.375" style="14" customWidth="1"/>
    <col min="6427" max="6427" width="9.25" style="14" customWidth="1"/>
    <col min="6428" max="6429" width="12.75" style="14" customWidth="1"/>
    <col min="6430" max="6433" width="7.625" style="14" customWidth="1"/>
    <col min="6434" max="6435" width="12.75" style="14" customWidth="1"/>
    <col min="6436" max="6439" width="7.625" style="14" customWidth="1"/>
    <col min="6440" max="6441" width="12.75" style="14" customWidth="1"/>
    <col min="6442" max="6445" width="7.625" style="14" customWidth="1"/>
    <col min="6446" max="6648" width="9" style="14"/>
    <col min="6649" max="6649" width="9.75" style="14" bestFit="1" customWidth="1"/>
    <col min="6650" max="6651" width="2.75" style="14" bestFit="1" customWidth="1"/>
    <col min="6652" max="6653" width="2.75" style="14" customWidth="1"/>
    <col min="6654" max="6655" width="2.75" style="14" bestFit="1" customWidth="1"/>
    <col min="6656" max="6657" width="2.75" style="14" customWidth="1"/>
    <col min="6658" max="6658" width="2.75" style="14" bestFit="1" customWidth="1"/>
    <col min="6659" max="6660" width="9" style="14"/>
    <col min="6661" max="6662" width="8.625" style="14" customWidth="1"/>
    <col min="6663" max="6663" width="10.125" style="14" bestFit="1" customWidth="1"/>
    <col min="6664" max="6664" width="9" style="14"/>
    <col min="6665" max="6665" width="15" style="14" customWidth="1"/>
    <col min="6666" max="6668" width="9" style="14"/>
    <col min="6669" max="6671" width="9.375" style="14" customWidth="1"/>
    <col min="6672" max="6674" width="8.75" style="14" customWidth="1"/>
    <col min="6675" max="6675" width="9" style="14"/>
    <col min="6676" max="6676" width="12.75" style="14" customWidth="1"/>
    <col min="6677" max="6678" width="9" style="14"/>
    <col min="6679" max="6679" width="12.75" style="14" customWidth="1"/>
    <col min="6680" max="6681" width="9" style="14"/>
    <col min="6682" max="6682" width="9.375" style="14" customWidth="1"/>
    <col min="6683" max="6683" width="9.25" style="14" customWidth="1"/>
    <col min="6684" max="6685" width="12.75" style="14" customWidth="1"/>
    <col min="6686" max="6689" width="7.625" style="14" customWidth="1"/>
    <col min="6690" max="6691" width="12.75" style="14" customWidth="1"/>
    <col min="6692" max="6695" width="7.625" style="14" customWidth="1"/>
    <col min="6696" max="6697" width="12.75" style="14" customWidth="1"/>
    <col min="6698" max="6701" width="7.625" style="14" customWidth="1"/>
    <col min="6702" max="6904" width="9" style="14"/>
    <col min="6905" max="6905" width="9.75" style="14" bestFit="1" customWidth="1"/>
    <col min="6906" max="6907" width="2.75" style="14" bestFit="1" customWidth="1"/>
    <col min="6908" max="6909" width="2.75" style="14" customWidth="1"/>
    <col min="6910" max="6911" width="2.75" style="14" bestFit="1" customWidth="1"/>
    <col min="6912" max="6913" width="2.75" style="14" customWidth="1"/>
    <col min="6914" max="6914" width="2.75" style="14" bestFit="1" customWidth="1"/>
    <col min="6915" max="6916" width="9" style="14"/>
    <col min="6917" max="6918" width="8.625" style="14" customWidth="1"/>
    <col min="6919" max="6919" width="10.125" style="14" bestFit="1" customWidth="1"/>
    <col min="6920" max="6920" width="9" style="14"/>
    <col min="6921" max="6921" width="15" style="14" customWidth="1"/>
    <col min="6922" max="6924" width="9" style="14"/>
    <col min="6925" max="6927" width="9.375" style="14" customWidth="1"/>
    <col min="6928" max="6930" width="8.75" style="14" customWidth="1"/>
    <col min="6931" max="6931" width="9" style="14"/>
    <col min="6932" max="6932" width="12.75" style="14" customWidth="1"/>
    <col min="6933" max="6934" width="9" style="14"/>
    <col min="6935" max="6935" width="12.75" style="14" customWidth="1"/>
    <col min="6936" max="6937" width="9" style="14"/>
    <col min="6938" max="6938" width="9.375" style="14" customWidth="1"/>
    <col min="6939" max="6939" width="9.25" style="14" customWidth="1"/>
    <col min="6940" max="6941" width="12.75" style="14" customWidth="1"/>
    <col min="6942" max="6945" width="7.625" style="14" customWidth="1"/>
    <col min="6946" max="6947" width="12.75" style="14" customWidth="1"/>
    <col min="6948" max="6951" width="7.625" style="14" customWidth="1"/>
    <col min="6952" max="6953" width="12.75" style="14" customWidth="1"/>
    <col min="6954" max="6957" width="7.625" style="14" customWidth="1"/>
    <col min="6958" max="7160" width="9" style="14"/>
    <col min="7161" max="7161" width="9.75" style="14" bestFit="1" customWidth="1"/>
    <col min="7162" max="7163" width="2.75" style="14" bestFit="1" customWidth="1"/>
    <col min="7164" max="7165" width="2.75" style="14" customWidth="1"/>
    <col min="7166" max="7167" width="2.75" style="14" bestFit="1" customWidth="1"/>
    <col min="7168" max="7169" width="2.75" style="14" customWidth="1"/>
    <col min="7170" max="7170" width="2.75" style="14" bestFit="1" customWidth="1"/>
    <col min="7171" max="7172" width="9" style="14"/>
    <col min="7173" max="7174" width="8.625" style="14" customWidth="1"/>
    <col min="7175" max="7175" width="10.125" style="14" bestFit="1" customWidth="1"/>
    <col min="7176" max="7176" width="9" style="14"/>
    <col min="7177" max="7177" width="15" style="14" customWidth="1"/>
    <col min="7178" max="7180" width="9" style="14"/>
    <col min="7181" max="7183" width="9.375" style="14" customWidth="1"/>
    <col min="7184" max="7186" width="8.75" style="14" customWidth="1"/>
    <col min="7187" max="7187" width="9" style="14"/>
    <col min="7188" max="7188" width="12.75" style="14" customWidth="1"/>
    <col min="7189" max="7190" width="9" style="14"/>
    <col min="7191" max="7191" width="12.75" style="14" customWidth="1"/>
    <col min="7192" max="7193" width="9" style="14"/>
    <col min="7194" max="7194" width="9.375" style="14" customWidth="1"/>
    <col min="7195" max="7195" width="9.25" style="14" customWidth="1"/>
    <col min="7196" max="7197" width="12.75" style="14" customWidth="1"/>
    <col min="7198" max="7201" width="7.625" style="14" customWidth="1"/>
    <col min="7202" max="7203" width="12.75" style="14" customWidth="1"/>
    <col min="7204" max="7207" width="7.625" style="14" customWidth="1"/>
    <col min="7208" max="7209" width="12.75" style="14" customWidth="1"/>
    <col min="7210" max="7213" width="7.625" style="14" customWidth="1"/>
    <col min="7214" max="7416" width="9" style="14"/>
    <col min="7417" max="7417" width="9.75" style="14" bestFit="1" customWidth="1"/>
    <col min="7418" max="7419" width="2.75" style="14" bestFit="1" customWidth="1"/>
    <col min="7420" max="7421" width="2.75" style="14" customWidth="1"/>
    <col min="7422" max="7423" width="2.75" style="14" bestFit="1" customWidth="1"/>
    <col min="7424" max="7425" width="2.75" style="14" customWidth="1"/>
    <col min="7426" max="7426" width="2.75" style="14" bestFit="1" customWidth="1"/>
    <col min="7427" max="7428" width="9" style="14"/>
    <col min="7429" max="7430" width="8.625" style="14" customWidth="1"/>
    <col min="7431" max="7431" width="10.125" style="14" bestFit="1" customWidth="1"/>
    <col min="7432" max="7432" width="9" style="14"/>
    <col min="7433" max="7433" width="15" style="14" customWidth="1"/>
    <col min="7434" max="7436" width="9" style="14"/>
    <col min="7437" max="7439" width="9.375" style="14" customWidth="1"/>
    <col min="7440" max="7442" width="8.75" style="14" customWidth="1"/>
    <col min="7443" max="7443" width="9" style="14"/>
    <col min="7444" max="7444" width="12.75" style="14" customWidth="1"/>
    <col min="7445" max="7446" width="9" style="14"/>
    <col min="7447" max="7447" width="12.75" style="14" customWidth="1"/>
    <col min="7448" max="7449" width="9" style="14"/>
    <col min="7450" max="7450" width="9.375" style="14" customWidth="1"/>
    <col min="7451" max="7451" width="9.25" style="14" customWidth="1"/>
    <col min="7452" max="7453" width="12.75" style="14" customWidth="1"/>
    <col min="7454" max="7457" width="7.625" style="14" customWidth="1"/>
    <col min="7458" max="7459" width="12.75" style="14" customWidth="1"/>
    <col min="7460" max="7463" width="7.625" style="14" customWidth="1"/>
    <col min="7464" max="7465" width="12.75" style="14" customWidth="1"/>
    <col min="7466" max="7469" width="7.625" style="14" customWidth="1"/>
    <col min="7470" max="7672" width="9" style="14"/>
    <col min="7673" max="7673" width="9.75" style="14" bestFit="1" customWidth="1"/>
    <col min="7674" max="7675" width="2.75" style="14" bestFit="1" customWidth="1"/>
    <col min="7676" max="7677" width="2.75" style="14" customWidth="1"/>
    <col min="7678" max="7679" width="2.75" style="14" bestFit="1" customWidth="1"/>
    <col min="7680" max="7681" width="2.75" style="14" customWidth="1"/>
    <col min="7682" max="7682" width="2.75" style="14" bestFit="1" customWidth="1"/>
    <col min="7683" max="7684" width="9" style="14"/>
    <col min="7685" max="7686" width="8.625" style="14" customWidth="1"/>
    <col min="7687" max="7687" width="10.125" style="14" bestFit="1" customWidth="1"/>
    <col min="7688" max="7688" width="9" style="14"/>
    <col min="7689" max="7689" width="15" style="14" customWidth="1"/>
    <col min="7690" max="7692" width="9" style="14"/>
    <col min="7693" max="7695" width="9.375" style="14" customWidth="1"/>
    <col min="7696" max="7698" width="8.75" style="14" customWidth="1"/>
    <col min="7699" max="7699" width="9" style="14"/>
    <col min="7700" max="7700" width="12.75" style="14" customWidth="1"/>
    <col min="7701" max="7702" width="9" style="14"/>
    <col min="7703" max="7703" width="12.75" style="14" customWidth="1"/>
    <col min="7704" max="7705" width="9" style="14"/>
    <col min="7706" max="7706" width="9.375" style="14" customWidth="1"/>
    <col min="7707" max="7707" width="9.25" style="14" customWidth="1"/>
    <col min="7708" max="7709" width="12.75" style="14" customWidth="1"/>
    <col min="7710" max="7713" width="7.625" style="14" customWidth="1"/>
    <col min="7714" max="7715" width="12.75" style="14" customWidth="1"/>
    <col min="7716" max="7719" width="7.625" style="14" customWidth="1"/>
    <col min="7720" max="7721" width="12.75" style="14" customWidth="1"/>
    <col min="7722" max="7725" width="7.625" style="14" customWidth="1"/>
    <col min="7726" max="7928" width="9" style="14"/>
    <col min="7929" max="7929" width="9.75" style="14" bestFit="1" customWidth="1"/>
    <col min="7930" max="7931" width="2.75" style="14" bestFit="1" customWidth="1"/>
    <col min="7932" max="7933" width="2.75" style="14" customWidth="1"/>
    <col min="7934" max="7935" width="2.75" style="14" bestFit="1" customWidth="1"/>
    <col min="7936" max="7937" width="2.75" style="14" customWidth="1"/>
    <col min="7938" max="7938" width="2.75" style="14" bestFit="1" customWidth="1"/>
    <col min="7939" max="7940" width="9" style="14"/>
    <col min="7941" max="7942" width="8.625" style="14" customWidth="1"/>
    <col min="7943" max="7943" width="10.125" style="14" bestFit="1" customWidth="1"/>
    <col min="7944" max="7944" width="9" style="14"/>
    <col min="7945" max="7945" width="15" style="14" customWidth="1"/>
    <col min="7946" max="7948" width="9" style="14"/>
    <col min="7949" max="7951" width="9.375" style="14" customWidth="1"/>
    <col min="7952" max="7954" width="8.75" style="14" customWidth="1"/>
    <col min="7955" max="7955" width="9" style="14"/>
    <col min="7956" max="7956" width="12.75" style="14" customWidth="1"/>
    <col min="7957" max="7958" width="9" style="14"/>
    <col min="7959" max="7959" width="12.75" style="14" customWidth="1"/>
    <col min="7960" max="7961" width="9" style="14"/>
    <col min="7962" max="7962" width="9.375" style="14" customWidth="1"/>
    <col min="7963" max="7963" width="9.25" style="14" customWidth="1"/>
    <col min="7964" max="7965" width="12.75" style="14" customWidth="1"/>
    <col min="7966" max="7969" width="7.625" style="14" customWidth="1"/>
    <col min="7970" max="7971" width="12.75" style="14" customWidth="1"/>
    <col min="7972" max="7975" width="7.625" style="14" customWidth="1"/>
    <col min="7976" max="7977" width="12.75" style="14" customWidth="1"/>
    <col min="7978" max="7981" width="7.625" style="14" customWidth="1"/>
    <col min="7982" max="8184" width="9" style="14"/>
    <col min="8185" max="8185" width="9.75" style="14" bestFit="1" customWidth="1"/>
    <col min="8186" max="8187" width="2.75" style="14" bestFit="1" customWidth="1"/>
    <col min="8188" max="8189" width="2.75" style="14" customWidth="1"/>
    <col min="8190" max="8191" width="2.75" style="14" bestFit="1" customWidth="1"/>
    <col min="8192" max="8193" width="2.75" style="14" customWidth="1"/>
    <col min="8194" max="8194" width="2.75" style="14" bestFit="1" customWidth="1"/>
    <col min="8195" max="8196" width="9" style="14"/>
    <col min="8197" max="8198" width="8.625" style="14" customWidth="1"/>
    <col min="8199" max="8199" width="10.125" style="14" bestFit="1" customWidth="1"/>
    <col min="8200" max="8200" width="9" style="14"/>
    <col min="8201" max="8201" width="15" style="14" customWidth="1"/>
    <col min="8202" max="8204" width="9" style="14"/>
    <col min="8205" max="8207" width="9.375" style="14" customWidth="1"/>
    <col min="8208" max="8210" width="8.75" style="14" customWidth="1"/>
    <col min="8211" max="8211" width="9" style="14"/>
    <col min="8212" max="8212" width="12.75" style="14" customWidth="1"/>
    <col min="8213" max="8214" width="9" style="14"/>
    <col min="8215" max="8215" width="12.75" style="14" customWidth="1"/>
    <col min="8216" max="8217" width="9" style="14"/>
    <col min="8218" max="8218" width="9.375" style="14" customWidth="1"/>
    <col min="8219" max="8219" width="9.25" style="14" customWidth="1"/>
    <col min="8220" max="8221" width="12.75" style="14" customWidth="1"/>
    <col min="8222" max="8225" width="7.625" style="14" customWidth="1"/>
    <col min="8226" max="8227" width="12.75" style="14" customWidth="1"/>
    <col min="8228" max="8231" width="7.625" style="14" customWidth="1"/>
    <col min="8232" max="8233" width="12.75" style="14" customWidth="1"/>
    <col min="8234" max="8237" width="7.625" style="14" customWidth="1"/>
    <col min="8238" max="8440" width="9" style="14"/>
    <col min="8441" max="8441" width="9.75" style="14" bestFit="1" customWidth="1"/>
    <col min="8442" max="8443" width="2.75" style="14" bestFit="1" customWidth="1"/>
    <col min="8444" max="8445" width="2.75" style="14" customWidth="1"/>
    <col min="8446" max="8447" width="2.75" style="14" bestFit="1" customWidth="1"/>
    <col min="8448" max="8449" width="2.75" style="14" customWidth="1"/>
    <col min="8450" max="8450" width="2.75" style="14" bestFit="1" customWidth="1"/>
    <col min="8451" max="8452" width="9" style="14"/>
    <col min="8453" max="8454" width="8.625" style="14" customWidth="1"/>
    <col min="8455" max="8455" width="10.125" style="14" bestFit="1" customWidth="1"/>
    <col min="8456" max="8456" width="9" style="14"/>
    <col min="8457" max="8457" width="15" style="14" customWidth="1"/>
    <col min="8458" max="8460" width="9" style="14"/>
    <col min="8461" max="8463" width="9.375" style="14" customWidth="1"/>
    <col min="8464" max="8466" width="8.75" style="14" customWidth="1"/>
    <col min="8467" max="8467" width="9" style="14"/>
    <col min="8468" max="8468" width="12.75" style="14" customWidth="1"/>
    <col min="8469" max="8470" width="9" style="14"/>
    <col min="8471" max="8471" width="12.75" style="14" customWidth="1"/>
    <col min="8472" max="8473" width="9" style="14"/>
    <col min="8474" max="8474" width="9.375" style="14" customWidth="1"/>
    <col min="8475" max="8475" width="9.25" style="14" customWidth="1"/>
    <col min="8476" max="8477" width="12.75" style="14" customWidth="1"/>
    <col min="8478" max="8481" width="7.625" style="14" customWidth="1"/>
    <col min="8482" max="8483" width="12.75" style="14" customWidth="1"/>
    <col min="8484" max="8487" width="7.625" style="14" customWidth="1"/>
    <col min="8488" max="8489" width="12.75" style="14" customWidth="1"/>
    <col min="8490" max="8493" width="7.625" style="14" customWidth="1"/>
    <col min="8494" max="8696" width="9" style="14"/>
    <col min="8697" max="8697" width="9.75" style="14" bestFit="1" customWidth="1"/>
    <col min="8698" max="8699" width="2.75" style="14" bestFit="1" customWidth="1"/>
    <col min="8700" max="8701" width="2.75" style="14" customWidth="1"/>
    <col min="8702" max="8703" width="2.75" style="14" bestFit="1" customWidth="1"/>
    <col min="8704" max="8705" width="2.75" style="14" customWidth="1"/>
    <col min="8706" max="8706" width="2.75" style="14" bestFit="1" customWidth="1"/>
    <col min="8707" max="8708" width="9" style="14"/>
    <col min="8709" max="8710" width="8.625" style="14" customWidth="1"/>
    <col min="8711" max="8711" width="10.125" style="14" bestFit="1" customWidth="1"/>
    <col min="8712" max="8712" width="9" style="14"/>
    <col min="8713" max="8713" width="15" style="14" customWidth="1"/>
    <col min="8714" max="8716" width="9" style="14"/>
    <col min="8717" max="8719" width="9.375" style="14" customWidth="1"/>
    <col min="8720" max="8722" width="8.75" style="14" customWidth="1"/>
    <col min="8723" max="8723" width="9" style="14"/>
    <col min="8724" max="8724" width="12.75" style="14" customWidth="1"/>
    <col min="8725" max="8726" width="9" style="14"/>
    <col min="8727" max="8727" width="12.75" style="14" customWidth="1"/>
    <col min="8728" max="8729" width="9" style="14"/>
    <col min="8730" max="8730" width="9.375" style="14" customWidth="1"/>
    <col min="8731" max="8731" width="9.25" style="14" customWidth="1"/>
    <col min="8732" max="8733" width="12.75" style="14" customWidth="1"/>
    <col min="8734" max="8737" width="7.625" style="14" customWidth="1"/>
    <col min="8738" max="8739" width="12.75" style="14" customWidth="1"/>
    <col min="8740" max="8743" width="7.625" style="14" customWidth="1"/>
    <col min="8744" max="8745" width="12.75" style="14" customWidth="1"/>
    <col min="8746" max="8749" width="7.625" style="14" customWidth="1"/>
    <col min="8750" max="8952" width="9" style="14"/>
    <col min="8953" max="8953" width="9.75" style="14" bestFit="1" customWidth="1"/>
    <col min="8954" max="8955" width="2.75" style="14" bestFit="1" customWidth="1"/>
    <col min="8956" max="8957" width="2.75" style="14" customWidth="1"/>
    <col min="8958" max="8959" width="2.75" style="14" bestFit="1" customWidth="1"/>
    <col min="8960" max="8961" width="2.75" style="14" customWidth="1"/>
    <col min="8962" max="8962" width="2.75" style="14" bestFit="1" customWidth="1"/>
    <col min="8963" max="8964" width="9" style="14"/>
    <col min="8965" max="8966" width="8.625" style="14" customWidth="1"/>
    <col min="8967" max="8967" width="10.125" style="14" bestFit="1" customWidth="1"/>
    <col min="8968" max="8968" width="9" style="14"/>
    <col min="8969" max="8969" width="15" style="14" customWidth="1"/>
    <col min="8970" max="8972" width="9" style="14"/>
    <col min="8973" max="8975" width="9.375" style="14" customWidth="1"/>
    <col min="8976" max="8978" width="8.75" style="14" customWidth="1"/>
    <col min="8979" max="8979" width="9" style="14"/>
    <col min="8980" max="8980" width="12.75" style="14" customWidth="1"/>
    <col min="8981" max="8982" width="9" style="14"/>
    <col min="8983" max="8983" width="12.75" style="14" customWidth="1"/>
    <col min="8984" max="8985" width="9" style="14"/>
    <col min="8986" max="8986" width="9.375" style="14" customWidth="1"/>
    <col min="8987" max="8987" width="9.25" style="14" customWidth="1"/>
    <col min="8988" max="8989" width="12.75" style="14" customWidth="1"/>
    <col min="8990" max="8993" width="7.625" style="14" customWidth="1"/>
    <col min="8994" max="8995" width="12.75" style="14" customWidth="1"/>
    <col min="8996" max="8999" width="7.625" style="14" customWidth="1"/>
    <col min="9000" max="9001" width="12.75" style="14" customWidth="1"/>
    <col min="9002" max="9005" width="7.625" style="14" customWidth="1"/>
    <col min="9006" max="9208" width="9" style="14"/>
    <col min="9209" max="9209" width="9.75" style="14" bestFit="1" customWidth="1"/>
    <col min="9210" max="9211" width="2.75" style="14" bestFit="1" customWidth="1"/>
    <col min="9212" max="9213" width="2.75" style="14" customWidth="1"/>
    <col min="9214" max="9215" width="2.75" style="14" bestFit="1" customWidth="1"/>
    <col min="9216" max="9217" width="2.75" style="14" customWidth="1"/>
    <col min="9218" max="9218" width="2.75" style="14" bestFit="1" customWidth="1"/>
    <col min="9219" max="9220" width="9" style="14"/>
    <col min="9221" max="9222" width="8.625" style="14" customWidth="1"/>
    <col min="9223" max="9223" width="10.125" style="14" bestFit="1" customWidth="1"/>
    <col min="9224" max="9224" width="9" style="14"/>
    <col min="9225" max="9225" width="15" style="14" customWidth="1"/>
    <col min="9226" max="9228" width="9" style="14"/>
    <col min="9229" max="9231" width="9.375" style="14" customWidth="1"/>
    <col min="9232" max="9234" width="8.75" style="14" customWidth="1"/>
    <col min="9235" max="9235" width="9" style="14"/>
    <col min="9236" max="9236" width="12.75" style="14" customWidth="1"/>
    <col min="9237" max="9238" width="9" style="14"/>
    <col min="9239" max="9239" width="12.75" style="14" customWidth="1"/>
    <col min="9240" max="9241" width="9" style="14"/>
    <col min="9242" max="9242" width="9.375" style="14" customWidth="1"/>
    <col min="9243" max="9243" width="9.25" style="14" customWidth="1"/>
    <col min="9244" max="9245" width="12.75" style="14" customWidth="1"/>
    <col min="9246" max="9249" width="7.625" style="14" customWidth="1"/>
    <col min="9250" max="9251" width="12.75" style="14" customWidth="1"/>
    <col min="9252" max="9255" width="7.625" style="14" customWidth="1"/>
    <col min="9256" max="9257" width="12.75" style="14" customWidth="1"/>
    <col min="9258" max="9261" width="7.625" style="14" customWidth="1"/>
    <col min="9262" max="9464" width="9" style="14"/>
    <col min="9465" max="9465" width="9.75" style="14" bestFit="1" customWidth="1"/>
    <col min="9466" max="9467" width="2.75" style="14" bestFit="1" customWidth="1"/>
    <col min="9468" max="9469" width="2.75" style="14" customWidth="1"/>
    <col min="9470" max="9471" width="2.75" style="14" bestFit="1" customWidth="1"/>
    <col min="9472" max="9473" width="2.75" style="14" customWidth="1"/>
    <col min="9474" max="9474" width="2.75" style="14" bestFit="1" customWidth="1"/>
    <col min="9475" max="9476" width="9" style="14"/>
    <col min="9477" max="9478" width="8.625" style="14" customWidth="1"/>
    <col min="9479" max="9479" width="10.125" style="14" bestFit="1" customWidth="1"/>
    <col min="9480" max="9480" width="9" style="14"/>
    <col min="9481" max="9481" width="15" style="14" customWidth="1"/>
    <col min="9482" max="9484" width="9" style="14"/>
    <col min="9485" max="9487" width="9.375" style="14" customWidth="1"/>
    <col min="9488" max="9490" width="8.75" style="14" customWidth="1"/>
    <col min="9491" max="9491" width="9" style="14"/>
    <col min="9492" max="9492" width="12.75" style="14" customWidth="1"/>
    <col min="9493" max="9494" width="9" style="14"/>
    <col min="9495" max="9495" width="12.75" style="14" customWidth="1"/>
    <col min="9496" max="9497" width="9" style="14"/>
    <col min="9498" max="9498" width="9.375" style="14" customWidth="1"/>
    <col min="9499" max="9499" width="9.25" style="14" customWidth="1"/>
    <col min="9500" max="9501" width="12.75" style="14" customWidth="1"/>
    <col min="9502" max="9505" width="7.625" style="14" customWidth="1"/>
    <col min="9506" max="9507" width="12.75" style="14" customWidth="1"/>
    <col min="9508" max="9511" width="7.625" style="14" customWidth="1"/>
    <col min="9512" max="9513" width="12.75" style="14" customWidth="1"/>
    <col min="9514" max="9517" width="7.625" style="14" customWidth="1"/>
    <col min="9518" max="9720" width="9" style="14"/>
    <col min="9721" max="9721" width="9.75" style="14" bestFit="1" customWidth="1"/>
    <col min="9722" max="9723" width="2.75" style="14" bestFit="1" customWidth="1"/>
    <col min="9724" max="9725" width="2.75" style="14" customWidth="1"/>
    <col min="9726" max="9727" width="2.75" style="14" bestFit="1" customWidth="1"/>
    <col min="9728" max="9729" width="2.75" style="14" customWidth="1"/>
    <col min="9730" max="9730" width="2.75" style="14" bestFit="1" customWidth="1"/>
    <col min="9731" max="9732" width="9" style="14"/>
    <col min="9733" max="9734" width="8.625" style="14" customWidth="1"/>
    <col min="9735" max="9735" width="10.125" style="14" bestFit="1" customWidth="1"/>
    <col min="9736" max="9736" width="9" style="14"/>
    <col min="9737" max="9737" width="15" style="14" customWidth="1"/>
    <col min="9738" max="9740" width="9" style="14"/>
    <col min="9741" max="9743" width="9.375" style="14" customWidth="1"/>
    <col min="9744" max="9746" width="8.75" style="14" customWidth="1"/>
    <col min="9747" max="9747" width="9" style="14"/>
    <col min="9748" max="9748" width="12.75" style="14" customWidth="1"/>
    <col min="9749" max="9750" width="9" style="14"/>
    <col min="9751" max="9751" width="12.75" style="14" customWidth="1"/>
    <col min="9752" max="9753" width="9" style="14"/>
    <col min="9754" max="9754" width="9.375" style="14" customWidth="1"/>
    <col min="9755" max="9755" width="9.25" style="14" customWidth="1"/>
    <col min="9756" max="9757" width="12.75" style="14" customWidth="1"/>
    <col min="9758" max="9761" width="7.625" style="14" customWidth="1"/>
    <col min="9762" max="9763" width="12.75" style="14" customWidth="1"/>
    <col min="9764" max="9767" width="7.625" style="14" customWidth="1"/>
    <col min="9768" max="9769" width="12.75" style="14" customWidth="1"/>
    <col min="9770" max="9773" width="7.625" style="14" customWidth="1"/>
    <col min="9774" max="9976" width="9" style="14"/>
    <col min="9977" max="9977" width="9.75" style="14" bestFit="1" customWidth="1"/>
    <col min="9978" max="9979" width="2.75" style="14" bestFit="1" customWidth="1"/>
    <col min="9980" max="9981" width="2.75" style="14" customWidth="1"/>
    <col min="9982" max="9983" width="2.75" style="14" bestFit="1" customWidth="1"/>
    <col min="9984" max="9985" width="2.75" style="14" customWidth="1"/>
    <col min="9986" max="9986" width="2.75" style="14" bestFit="1" customWidth="1"/>
    <col min="9987" max="9988" width="9" style="14"/>
    <col min="9989" max="9990" width="8.625" style="14" customWidth="1"/>
    <col min="9991" max="9991" width="10.125" style="14" bestFit="1" customWidth="1"/>
    <col min="9992" max="9992" width="9" style="14"/>
    <col min="9993" max="9993" width="15" style="14" customWidth="1"/>
    <col min="9994" max="9996" width="9" style="14"/>
    <col min="9997" max="9999" width="9.375" style="14" customWidth="1"/>
    <col min="10000" max="10002" width="8.75" style="14" customWidth="1"/>
    <col min="10003" max="10003" width="9" style="14"/>
    <col min="10004" max="10004" width="12.75" style="14" customWidth="1"/>
    <col min="10005" max="10006" width="9" style="14"/>
    <col min="10007" max="10007" width="12.75" style="14" customWidth="1"/>
    <col min="10008" max="10009" width="9" style="14"/>
    <col min="10010" max="10010" width="9.375" style="14" customWidth="1"/>
    <col min="10011" max="10011" width="9.25" style="14" customWidth="1"/>
    <col min="10012" max="10013" width="12.75" style="14" customWidth="1"/>
    <col min="10014" max="10017" width="7.625" style="14" customWidth="1"/>
    <col min="10018" max="10019" width="12.75" style="14" customWidth="1"/>
    <col min="10020" max="10023" width="7.625" style="14" customWidth="1"/>
    <col min="10024" max="10025" width="12.75" style="14" customWidth="1"/>
    <col min="10026" max="10029" width="7.625" style="14" customWidth="1"/>
    <col min="10030" max="10232" width="9" style="14"/>
    <col min="10233" max="10233" width="9.75" style="14" bestFit="1" customWidth="1"/>
    <col min="10234" max="10235" width="2.75" style="14" bestFit="1" customWidth="1"/>
    <col min="10236" max="10237" width="2.75" style="14" customWidth="1"/>
    <col min="10238" max="10239" width="2.75" style="14" bestFit="1" customWidth="1"/>
    <col min="10240" max="10241" width="2.75" style="14" customWidth="1"/>
    <col min="10242" max="10242" width="2.75" style="14" bestFit="1" customWidth="1"/>
    <col min="10243" max="10244" width="9" style="14"/>
    <col min="10245" max="10246" width="8.625" style="14" customWidth="1"/>
    <col min="10247" max="10247" width="10.125" style="14" bestFit="1" customWidth="1"/>
    <col min="10248" max="10248" width="9" style="14"/>
    <col min="10249" max="10249" width="15" style="14" customWidth="1"/>
    <col min="10250" max="10252" width="9" style="14"/>
    <col min="10253" max="10255" width="9.375" style="14" customWidth="1"/>
    <col min="10256" max="10258" width="8.75" style="14" customWidth="1"/>
    <col min="10259" max="10259" width="9" style="14"/>
    <col min="10260" max="10260" width="12.75" style="14" customWidth="1"/>
    <col min="10261" max="10262" width="9" style="14"/>
    <col min="10263" max="10263" width="12.75" style="14" customWidth="1"/>
    <col min="10264" max="10265" width="9" style="14"/>
    <col min="10266" max="10266" width="9.375" style="14" customWidth="1"/>
    <col min="10267" max="10267" width="9.25" style="14" customWidth="1"/>
    <col min="10268" max="10269" width="12.75" style="14" customWidth="1"/>
    <col min="10270" max="10273" width="7.625" style="14" customWidth="1"/>
    <col min="10274" max="10275" width="12.75" style="14" customWidth="1"/>
    <col min="10276" max="10279" width="7.625" style="14" customWidth="1"/>
    <col min="10280" max="10281" width="12.75" style="14" customWidth="1"/>
    <col min="10282" max="10285" width="7.625" style="14" customWidth="1"/>
    <col min="10286" max="10488" width="9" style="14"/>
    <col min="10489" max="10489" width="9.75" style="14" bestFit="1" customWidth="1"/>
    <col min="10490" max="10491" width="2.75" style="14" bestFit="1" customWidth="1"/>
    <col min="10492" max="10493" width="2.75" style="14" customWidth="1"/>
    <col min="10494" max="10495" width="2.75" style="14" bestFit="1" customWidth="1"/>
    <col min="10496" max="10497" width="2.75" style="14" customWidth="1"/>
    <col min="10498" max="10498" width="2.75" style="14" bestFit="1" customWidth="1"/>
    <col min="10499" max="10500" width="9" style="14"/>
    <col min="10501" max="10502" width="8.625" style="14" customWidth="1"/>
    <col min="10503" max="10503" width="10.125" style="14" bestFit="1" customWidth="1"/>
    <col min="10504" max="10504" width="9" style="14"/>
    <col min="10505" max="10505" width="15" style="14" customWidth="1"/>
    <col min="10506" max="10508" width="9" style="14"/>
    <col min="10509" max="10511" width="9.375" style="14" customWidth="1"/>
    <col min="10512" max="10514" width="8.75" style="14" customWidth="1"/>
    <col min="10515" max="10515" width="9" style="14"/>
    <col min="10516" max="10516" width="12.75" style="14" customWidth="1"/>
    <col min="10517" max="10518" width="9" style="14"/>
    <col min="10519" max="10519" width="12.75" style="14" customWidth="1"/>
    <col min="10520" max="10521" width="9" style="14"/>
    <col min="10522" max="10522" width="9.375" style="14" customWidth="1"/>
    <col min="10523" max="10523" width="9.25" style="14" customWidth="1"/>
    <col min="10524" max="10525" width="12.75" style="14" customWidth="1"/>
    <col min="10526" max="10529" width="7.625" style="14" customWidth="1"/>
    <col min="10530" max="10531" width="12.75" style="14" customWidth="1"/>
    <col min="10532" max="10535" width="7.625" style="14" customWidth="1"/>
    <col min="10536" max="10537" width="12.75" style="14" customWidth="1"/>
    <col min="10538" max="10541" width="7.625" style="14" customWidth="1"/>
    <col min="10542" max="10744" width="9" style="14"/>
    <col min="10745" max="10745" width="9.75" style="14" bestFit="1" customWidth="1"/>
    <col min="10746" max="10747" width="2.75" style="14" bestFit="1" customWidth="1"/>
    <col min="10748" max="10749" width="2.75" style="14" customWidth="1"/>
    <col min="10750" max="10751" width="2.75" style="14" bestFit="1" customWidth="1"/>
    <col min="10752" max="10753" width="2.75" style="14" customWidth="1"/>
    <col min="10754" max="10754" width="2.75" style="14" bestFit="1" customWidth="1"/>
    <col min="10755" max="10756" width="9" style="14"/>
    <col min="10757" max="10758" width="8.625" style="14" customWidth="1"/>
    <col min="10759" max="10759" width="10.125" style="14" bestFit="1" customWidth="1"/>
    <col min="10760" max="10760" width="9" style="14"/>
    <col min="10761" max="10761" width="15" style="14" customWidth="1"/>
    <col min="10762" max="10764" width="9" style="14"/>
    <col min="10765" max="10767" width="9.375" style="14" customWidth="1"/>
    <col min="10768" max="10770" width="8.75" style="14" customWidth="1"/>
    <col min="10771" max="10771" width="9" style="14"/>
    <col min="10772" max="10772" width="12.75" style="14" customWidth="1"/>
    <col min="10773" max="10774" width="9" style="14"/>
    <col min="10775" max="10775" width="12.75" style="14" customWidth="1"/>
    <col min="10776" max="10777" width="9" style="14"/>
    <col min="10778" max="10778" width="9.375" style="14" customWidth="1"/>
    <col min="10779" max="10779" width="9.25" style="14" customWidth="1"/>
    <col min="10780" max="10781" width="12.75" style="14" customWidth="1"/>
    <col min="10782" max="10785" width="7.625" style="14" customWidth="1"/>
    <col min="10786" max="10787" width="12.75" style="14" customWidth="1"/>
    <col min="10788" max="10791" width="7.625" style="14" customWidth="1"/>
    <col min="10792" max="10793" width="12.75" style="14" customWidth="1"/>
    <col min="10794" max="10797" width="7.625" style="14" customWidth="1"/>
    <col min="10798" max="11000" width="9" style="14"/>
    <col min="11001" max="11001" width="9.75" style="14" bestFit="1" customWidth="1"/>
    <col min="11002" max="11003" width="2.75" style="14" bestFit="1" customWidth="1"/>
    <col min="11004" max="11005" width="2.75" style="14" customWidth="1"/>
    <col min="11006" max="11007" width="2.75" style="14" bestFit="1" customWidth="1"/>
    <col min="11008" max="11009" width="2.75" style="14" customWidth="1"/>
    <col min="11010" max="11010" width="2.75" style="14" bestFit="1" customWidth="1"/>
    <col min="11011" max="11012" width="9" style="14"/>
    <col min="11013" max="11014" width="8.625" style="14" customWidth="1"/>
    <col min="11015" max="11015" width="10.125" style="14" bestFit="1" customWidth="1"/>
    <col min="11016" max="11016" width="9" style="14"/>
    <col min="11017" max="11017" width="15" style="14" customWidth="1"/>
    <col min="11018" max="11020" width="9" style="14"/>
    <col min="11021" max="11023" width="9.375" style="14" customWidth="1"/>
    <col min="11024" max="11026" width="8.75" style="14" customWidth="1"/>
    <col min="11027" max="11027" width="9" style="14"/>
    <col min="11028" max="11028" width="12.75" style="14" customWidth="1"/>
    <col min="11029" max="11030" width="9" style="14"/>
    <col min="11031" max="11031" width="12.75" style="14" customWidth="1"/>
    <col min="11032" max="11033" width="9" style="14"/>
    <col min="11034" max="11034" width="9.375" style="14" customWidth="1"/>
    <col min="11035" max="11035" width="9.25" style="14" customWidth="1"/>
    <col min="11036" max="11037" width="12.75" style="14" customWidth="1"/>
    <col min="11038" max="11041" width="7.625" style="14" customWidth="1"/>
    <col min="11042" max="11043" width="12.75" style="14" customWidth="1"/>
    <col min="11044" max="11047" width="7.625" style="14" customWidth="1"/>
    <col min="11048" max="11049" width="12.75" style="14" customWidth="1"/>
    <col min="11050" max="11053" width="7.625" style="14" customWidth="1"/>
    <col min="11054" max="11256" width="9" style="14"/>
    <col min="11257" max="11257" width="9.75" style="14" bestFit="1" customWidth="1"/>
    <col min="11258" max="11259" width="2.75" style="14" bestFit="1" customWidth="1"/>
    <col min="11260" max="11261" width="2.75" style="14" customWidth="1"/>
    <col min="11262" max="11263" width="2.75" style="14" bestFit="1" customWidth="1"/>
    <col min="11264" max="11265" width="2.75" style="14" customWidth="1"/>
    <col min="11266" max="11266" width="2.75" style="14" bestFit="1" customWidth="1"/>
    <col min="11267" max="11268" width="9" style="14"/>
    <col min="11269" max="11270" width="8.625" style="14" customWidth="1"/>
    <col min="11271" max="11271" width="10.125" style="14" bestFit="1" customWidth="1"/>
    <col min="11272" max="11272" width="9" style="14"/>
    <col min="11273" max="11273" width="15" style="14" customWidth="1"/>
    <col min="11274" max="11276" width="9" style="14"/>
    <col min="11277" max="11279" width="9.375" style="14" customWidth="1"/>
    <col min="11280" max="11282" width="8.75" style="14" customWidth="1"/>
    <col min="11283" max="11283" width="9" style="14"/>
    <col min="11284" max="11284" width="12.75" style="14" customWidth="1"/>
    <col min="11285" max="11286" width="9" style="14"/>
    <col min="11287" max="11287" width="12.75" style="14" customWidth="1"/>
    <col min="11288" max="11289" width="9" style="14"/>
    <col min="11290" max="11290" width="9.375" style="14" customWidth="1"/>
    <col min="11291" max="11291" width="9.25" style="14" customWidth="1"/>
    <col min="11292" max="11293" width="12.75" style="14" customWidth="1"/>
    <col min="11294" max="11297" width="7.625" style="14" customWidth="1"/>
    <col min="11298" max="11299" width="12.75" style="14" customWidth="1"/>
    <col min="11300" max="11303" width="7.625" style="14" customWidth="1"/>
    <col min="11304" max="11305" width="12.75" style="14" customWidth="1"/>
    <col min="11306" max="11309" width="7.625" style="14" customWidth="1"/>
    <col min="11310" max="11512" width="9" style="14"/>
    <col min="11513" max="11513" width="9.75" style="14" bestFit="1" customWidth="1"/>
    <col min="11514" max="11515" width="2.75" style="14" bestFit="1" customWidth="1"/>
    <col min="11516" max="11517" width="2.75" style="14" customWidth="1"/>
    <col min="11518" max="11519" width="2.75" style="14" bestFit="1" customWidth="1"/>
    <col min="11520" max="11521" width="2.75" style="14" customWidth="1"/>
    <col min="11522" max="11522" width="2.75" style="14" bestFit="1" customWidth="1"/>
    <col min="11523" max="11524" width="9" style="14"/>
    <col min="11525" max="11526" width="8.625" style="14" customWidth="1"/>
    <col min="11527" max="11527" width="10.125" style="14" bestFit="1" customWidth="1"/>
    <col min="11528" max="11528" width="9" style="14"/>
    <col min="11529" max="11529" width="15" style="14" customWidth="1"/>
    <col min="11530" max="11532" width="9" style="14"/>
    <col min="11533" max="11535" width="9.375" style="14" customWidth="1"/>
    <col min="11536" max="11538" width="8.75" style="14" customWidth="1"/>
    <col min="11539" max="11539" width="9" style="14"/>
    <col min="11540" max="11540" width="12.75" style="14" customWidth="1"/>
    <col min="11541" max="11542" width="9" style="14"/>
    <col min="11543" max="11543" width="12.75" style="14" customWidth="1"/>
    <col min="11544" max="11545" width="9" style="14"/>
    <col min="11546" max="11546" width="9.375" style="14" customWidth="1"/>
    <col min="11547" max="11547" width="9.25" style="14" customWidth="1"/>
    <col min="11548" max="11549" width="12.75" style="14" customWidth="1"/>
    <col min="11550" max="11553" width="7.625" style="14" customWidth="1"/>
    <col min="11554" max="11555" width="12.75" style="14" customWidth="1"/>
    <col min="11556" max="11559" width="7.625" style="14" customWidth="1"/>
    <col min="11560" max="11561" width="12.75" style="14" customWidth="1"/>
    <col min="11562" max="11565" width="7.625" style="14" customWidth="1"/>
    <col min="11566" max="11768" width="9" style="14"/>
    <col min="11769" max="11769" width="9.75" style="14" bestFit="1" customWidth="1"/>
    <col min="11770" max="11771" width="2.75" style="14" bestFit="1" customWidth="1"/>
    <col min="11772" max="11773" width="2.75" style="14" customWidth="1"/>
    <col min="11774" max="11775" width="2.75" style="14" bestFit="1" customWidth="1"/>
    <col min="11776" max="11777" width="2.75" style="14" customWidth="1"/>
    <col min="11778" max="11778" width="2.75" style="14" bestFit="1" customWidth="1"/>
    <col min="11779" max="11780" width="9" style="14"/>
    <col min="11781" max="11782" width="8.625" style="14" customWidth="1"/>
    <col min="11783" max="11783" width="10.125" style="14" bestFit="1" customWidth="1"/>
    <col min="11784" max="11784" width="9" style="14"/>
    <col min="11785" max="11785" width="15" style="14" customWidth="1"/>
    <col min="11786" max="11788" width="9" style="14"/>
    <col min="11789" max="11791" width="9.375" style="14" customWidth="1"/>
    <col min="11792" max="11794" width="8.75" style="14" customWidth="1"/>
    <col min="11795" max="11795" width="9" style="14"/>
    <col min="11796" max="11796" width="12.75" style="14" customWidth="1"/>
    <col min="11797" max="11798" width="9" style="14"/>
    <col min="11799" max="11799" width="12.75" style="14" customWidth="1"/>
    <col min="11800" max="11801" width="9" style="14"/>
    <col min="11802" max="11802" width="9.375" style="14" customWidth="1"/>
    <col min="11803" max="11803" width="9.25" style="14" customWidth="1"/>
    <col min="11804" max="11805" width="12.75" style="14" customWidth="1"/>
    <col min="11806" max="11809" width="7.625" style="14" customWidth="1"/>
    <col min="11810" max="11811" width="12.75" style="14" customWidth="1"/>
    <col min="11812" max="11815" width="7.625" style="14" customWidth="1"/>
    <col min="11816" max="11817" width="12.75" style="14" customWidth="1"/>
    <col min="11818" max="11821" width="7.625" style="14" customWidth="1"/>
    <col min="11822" max="12024" width="9" style="14"/>
    <col min="12025" max="12025" width="9.75" style="14" bestFit="1" customWidth="1"/>
    <col min="12026" max="12027" width="2.75" style="14" bestFit="1" customWidth="1"/>
    <col min="12028" max="12029" width="2.75" style="14" customWidth="1"/>
    <col min="12030" max="12031" width="2.75" style="14" bestFit="1" customWidth="1"/>
    <col min="12032" max="12033" width="2.75" style="14" customWidth="1"/>
    <col min="12034" max="12034" width="2.75" style="14" bestFit="1" customWidth="1"/>
    <col min="12035" max="12036" width="9" style="14"/>
    <col min="12037" max="12038" width="8.625" style="14" customWidth="1"/>
    <col min="12039" max="12039" width="10.125" style="14" bestFit="1" customWidth="1"/>
    <col min="12040" max="12040" width="9" style="14"/>
    <col min="12041" max="12041" width="15" style="14" customWidth="1"/>
    <col min="12042" max="12044" width="9" style="14"/>
    <col min="12045" max="12047" width="9.375" style="14" customWidth="1"/>
    <col min="12048" max="12050" width="8.75" style="14" customWidth="1"/>
    <col min="12051" max="12051" width="9" style="14"/>
    <col min="12052" max="12052" width="12.75" style="14" customWidth="1"/>
    <col min="12053" max="12054" width="9" style="14"/>
    <col min="12055" max="12055" width="12.75" style="14" customWidth="1"/>
    <col min="12056" max="12057" width="9" style="14"/>
    <col min="12058" max="12058" width="9.375" style="14" customWidth="1"/>
    <col min="12059" max="12059" width="9.25" style="14" customWidth="1"/>
    <col min="12060" max="12061" width="12.75" style="14" customWidth="1"/>
    <col min="12062" max="12065" width="7.625" style="14" customWidth="1"/>
    <col min="12066" max="12067" width="12.75" style="14" customWidth="1"/>
    <col min="12068" max="12071" width="7.625" style="14" customWidth="1"/>
    <col min="12072" max="12073" width="12.75" style="14" customWidth="1"/>
    <col min="12074" max="12077" width="7.625" style="14" customWidth="1"/>
    <col min="12078" max="12280" width="9" style="14"/>
    <col min="12281" max="12281" width="9.75" style="14" bestFit="1" customWidth="1"/>
    <col min="12282" max="12283" width="2.75" style="14" bestFit="1" customWidth="1"/>
    <col min="12284" max="12285" width="2.75" style="14" customWidth="1"/>
    <col min="12286" max="12287" width="2.75" style="14" bestFit="1" customWidth="1"/>
    <col min="12288" max="12289" width="2.75" style="14" customWidth="1"/>
    <col min="12290" max="12290" width="2.75" style="14" bestFit="1" customWidth="1"/>
    <col min="12291" max="12292" width="9" style="14"/>
    <col min="12293" max="12294" width="8.625" style="14" customWidth="1"/>
    <col min="12295" max="12295" width="10.125" style="14" bestFit="1" customWidth="1"/>
    <col min="12296" max="12296" width="9" style="14"/>
    <col min="12297" max="12297" width="15" style="14" customWidth="1"/>
    <col min="12298" max="12300" width="9" style="14"/>
    <col min="12301" max="12303" width="9.375" style="14" customWidth="1"/>
    <col min="12304" max="12306" width="8.75" style="14" customWidth="1"/>
    <col min="12307" max="12307" width="9" style="14"/>
    <col min="12308" max="12308" width="12.75" style="14" customWidth="1"/>
    <col min="12309" max="12310" width="9" style="14"/>
    <col min="12311" max="12311" width="12.75" style="14" customWidth="1"/>
    <col min="12312" max="12313" width="9" style="14"/>
    <col min="12314" max="12314" width="9.375" style="14" customWidth="1"/>
    <col min="12315" max="12315" width="9.25" style="14" customWidth="1"/>
    <col min="12316" max="12317" width="12.75" style="14" customWidth="1"/>
    <col min="12318" max="12321" width="7.625" style="14" customWidth="1"/>
    <col min="12322" max="12323" width="12.75" style="14" customWidth="1"/>
    <col min="12324" max="12327" width="7.625" style="14" customWidth="1"/>
    <col min="12328" max="12329" width="12.75" style="14" customWidth="1"/>
    <col min="12330" max="12333" width="7.625" style="14" customWidth="1"/>
    <col min="12334" max="12536" width="9" style="14"/>
    <col min="12537" max="12537" width="9.75" style="14" bestFit="1" customWidth="1"/>
    <col min="12538" max="12539" width="2.75" style="14" bestFit="1" customWidth="1"/>
    <col min="12540" max="12541" width="2.75" style="14" customWidth="1"/>
    <col min="12542" max="12543" width="2.75" style="14" bestFit="1" customWidth="1"/>
    <col min="12544" max="12545" width="2.75" style="14" customWidth="1"/>
    <col min="12546" max="12546" width="2.75" style="14" bestFit="1" customWidth="1"/>
    <col min="12547" max="12548" width="9" style="14"/>
    <col min="12549" max="12550" width="8.625" style="14" customWidth="1"/>
    <col min="12551" max="12551" width="10.125" style="14" bestFit="1" customWidth="1"/>
    <col min="12552" max="12552" width="9" style="14"/>
    <col min="12553" max="12553" width="15" style="14" customWidth="1"/>
    <col min="12554" max="12556" width="9" style="14"/>
    <col min="12557" max="12559" width="9.375" style="14" customWidth="1"/>
    <col min="12560" max="12562" width="8.75" style="14" customWidth="1"/>
    <col min="12563" max="12563" width="9" style="14"/>
    <col min="12564" max="12564" width="12.75" style="14" customWidth="1"/>
    <col min="12565" max="12566" width="9" style="14"/>
    <col min="12567" max="12567" width="12.75" style="14" customWidth="1"/>
    <col min="12568" max="12569" width="9" style="14"/>
    <col min="12570" max="12570" width="9.375" style="14" customWidth="1"/>
    <col min="12571" max="12571" width="9.25" style="14" customWidth="1"/>
    <col min="12572" max="12573" width="12.75" style="14" customWidth="1"/>
    <col min="12574" max="12577" width="7.625" style="14" customWidth="1"/>
    <col min="12578" max="12579" width="12.75" style="14" customWidth="1"/>
    <col min="12580" max="12583" width="7.625" style="14" customWidth="1"/>
    <col min="12584" max="12585" width="12.75" style="14" customWidth="1"/>
    <col min="12586" max="12589" width="7.625" style="14" customWidth="1"/>
    <col min="12590" max="12792" width="9" style="14"/>
    <col min="12793" max="12793" width="9.75" style="14" bestFit="1" customWidth="1"/>
    <col min="12794" max="12795" width="2.75" style="14" bestFit="1" customWidth="1"/>
    <col min="12796" max="12797" width="2.75" style="14" customWidth="1"/>
    <col min="12798" max="12799" width="2.75" style="14" bestFit="1" customWidth="1"/>
    <col min="12800" max="12801" width="2.75" style="14" customWidth="1"/>
    <col min="12802" max="12802" width="2.75" style="14" bestFit="1" customWidth="1"/>
    <col min="12803" max="12804" width="9" style="14"/>
    <col min="12805" max="12806" width="8.625" style="14" customWidth="1"/>
    <col min="12807" max="12807" width="10.125" style="14" bestFit="1" customWidth="1"/>
    <col min="12808" max="12808" width="9" style="14"/>
    <col min="12809" max="12809" width="15" style="14" customWidth="1"/>
    <col min="12810" max="12812" width="9" style="14"/>
    <col min="12813" max="12815" width="9.375" style="14" customWidth="1"/>
    <col min="12816" max="12818" width="8.75" style="14" customWidth="1"/>
    <col min="12819" max="12819" width="9" style="14"/>
    <col min="12820" max="12820" width="12.75" style="14" customWidth="1"/>
    <col min="12821" max="12822" width="9" style="14"/>
    <col min="12823" max="12823" width="12.75" style="14" customWidth="1"/>
    <col min="12824" max="12825" width="9" style="14"/>
    <col min="12826" max="12826" width="9.375" style="14" customWidth="1"/>
    <col min="12827" max="12827" width="9.25" style="14" customWidth="1"/>
    <col min="12828" max="12829" width="12.75" style="14" customWidth="1"/>
    <col min="12830" max="12833" width="7.625" style="14" customWidth="1"/>
    <col min="12834" max="12835" width="12.75" style="14" customWidth="1"/>
    <col min="12836" max="12839" width="7.625" style="14" customWidth="1"/>
    <col min="12840" max="12841" width="12.75" style="14" customWidth="1"/>
    <col min="12842" max="12845" width="7.625" style="14" customWidth="1"/>
    <col min="12846" max="13048" width="9" style="14"/>
    <col min="13049" max="13049" width="9.75" style="14" bestFit="1" customWidth="1"/>
    <col min="13050" max="13051" width="2.75" style="14" bestFit="1" customWidth="1"/>
    <col min="13052" max="13053" width="2.75" style="14" customWidth="1"/>
    <col min="13054" max="13055" width="2.75" style="14" bestFit="1" customWidth="1"/>
    <col min="13056" max="13057" width="2.75" style="14" customWidth="1"/>
    <col min="13058" max="13058" width="2.75" style="14" bestFit="1" customWidth="1"/>
    <col min="13059" max="13060" width="9" style="14"/>
    <col min="13061" max="13062" width="8.625" style="14" customWidth="1"/>
    <col min="13063" max="13063" width="10.125" style="14" bestFit="1" customWidth="1"/>
    <col min="13064" max="13064" width="9" style="14"/>
    <col min="13065" max="13065" width="15" style="14" customWidth="1"/>
    <col min="13066" max="13068" width="9" style="14"/>
    <col min="13069" max="13071" width="9.375" style="14" customWidth="1"/>
    <col min="13072" max="13074" width="8.75" style="14" customWidth="1"/>
    <col min="13075" max="13075" width="9" style="14"/>
    <col min="13076" max="13076" width="12.75" style="14" customWidth="1"/>
    <col min="13077" max="13078" width="9" style="14"/>
    <col min="13079" max="13079" width="12.75" style="14" customWidth="1"/>
    <col min="13080" max="13081" width="9" style="14"/>
    <col min="13082" max="13082" width="9.375" style="14" customWidth="1"/>
    <col min="13083" max="13083" width="9.25" style="14" customWidth="1"/>
    <col min="13084" max="13085" width="12.75" style="14" customWidth="1"/>
    <col min="13086" max="13089" width="7.625" style="14" customWidth="1"/>
    <col min="13090" max="13091" width="12.75" style="14" customWidth="1"/>
    <col min="13092" max="13095" width="7.625" style="14" customWidth="1"/>
    <col min="13096" max="13097" width="12.75" style="14" customWidth="1"/>
    <col min="13098" max="13101" width="7.625" style="14" customWidth="1"/>
    <col min="13102" max="13304" width="9" style="14"/>
    <col min="13305" max="13305" width="9.75" style="14" bestFit="1" customWidth="1"/>
    <col min="13306" max="13307" width="2.75" style="14" bestFit="1" customWidth="1"/>
    <col min="13308" max="13309" width="2.75" style="14" customWidth="1"/>
    <col min="13310" max="13311" width="2.75" style="14" bestFit="1" customWidth="1"/>
    <col min="13312" max="13313" width="2.75" style="14" customWidth="1"/>
    <col min="13314" max="13314" width="2.75" style="14" bestFit="1" customWidth="1"/>
    <col min="13315" max="13316" width="9" style="14"/>
    <col min="13317" max="13318" width="8.625" style="14" customWidth="1"/>
    <col min="13319" max="13319" width="10.125" style="14" bestFit="1" customWidth="1"/>
    <col min="13320" max="13320" width="9" style="14"/>
    <col min="13321" max="13321" width="15" style="14" customWidth="1"/>
    <col min="13322" max="13324" width="9" style="14"/>
    <col min="13325" max="13327" width="9.375" style="14" customWidth="1"/>
    <col min="13328" max="13330" width="8.75" style="14" customWidth="1"/>
    <col min="13331" max="13331" width="9" style="14"/>
    <col min="13332" max="13332" width="12.75" style="14" customWidth="1"/>
    <col min="13333" max="13334" width="9" style="14"/>
    <col min="13335" max="13335" width="12.75" style="14" customWidth="1"/>
    <col min="13336" max="13337" width="9" style="14"/>
    <col min="13338" max="13338" width="9.375" style="14" customWidth="1"/>
    <col min="13339" max="13339" width="9.25" style="14" customWidth="1"/>
    <col min="13340" max="13341" width="12.75" style="14" customWidth="1"/>
    <col min="13342" max="13345" width="7.625" style="14" customWidth="1"/>
    <col min="13346" max="13347" width="12.75" style="14" customWidth="1"/>
    <col min="13348" max="13351" width="7.625" style="14" customWidth="1"/>
    <col min="13352" max="13353" width="12.75" style="14" customWidth="1"/>
    <col min="13354" max="13357" width="7.625" style="14" customWidth="1"/>
    <col min="13358" max="13560" width="9" style="14"/>
    <col min="13561" max="13561" width="9.75" style="14" bestFit="1" customWidth="1"/>
    <col min="13562" max="13563" width="2.75" style="14" bestFit="1" customWidth="1"/>
    <col min="13564" max="13565" width="2.75" style="14" customWidth="1"/>
    <col min="13566" max="13567" width="2.75" style="14" bestFit="1" customWidth="1"/>
    <col min="13568" max="13569" width="2.75" style="14" customWidth="1"/>
    <col min="13570" max="13570" width="2.75" style="14" bestFit="1" customWidth="1"/>
    <col min="13571" max="13572" width="9" style="14"/>
    <col min="13573" max="13574" width="8.625" style="14" customWidth="1"/>
    <col min="13575" max="13575" width="10.125" style="14" bestFit="1" customWidth="1"/>
    <col min="13576" max="13576" width="9" style="14"/>
    <col min="13577" max="13577" width="15" style="14" customWidth="1"/>
    <col min="13578" max="13580" width="9" style="14"/>
    <col min="13581" max="13583" width="9.375" style="14" customWidth="1"/>
    <col min="13584" max="13586" width="8.75" style="14" customWidth="1"/>
    <col min="13587" max="13587" width="9" style="14"/>
    <col min="13588" max="13588" width="12.75" style="14" customWidth="1"/>
    <col min="13589" max="13590" width="9" style="14"/>
    <col min="13591" max="13591" width="12.75" style="14" customWidth="1"/>
    <col min="13592" max="13593" width="9" style="14"/>
    <col min="13594" max="13594" width="9.375" style="14" customWidth="1"/>
    <col min="13595" max="13595" width="9.25" style="14" customWidth="1"/>
    <col min="13596" max="13597" width="12.75" style="14" customWidth="1"/>
    <col min="13598" max="13601" width="7.625" style="14" customWidth="1"/>
    <col min="13602" max="13603" width="12.75" style="14" customWidth="1"/>
    <col min="13604" max="13607" width="7.625" style="14" customWidth="1"/>
    <col min="13608" max="13609" width="12.75" style="14" customWidth="1"/>
    <col min="13610" max="13613" width="7.625" style="14" customWidth="1"/>
    <col min="13614" max="13816" width="9" style="14"/>
    <col min="13817" max="13817" width="9.75" style="14" bestFit="1" customWidth="1"/>
    <col min="13818" max="13819" width="2.75" style="14" bestFit="1" customWidth="1"/>
    <col min="13820" max="13821" width="2.75" style="14" customWidth="1"/>
    <col min="13822" max="13823" width="2.75" style="14" bestFit="1" customWidth="1"/>
    <col min="13824" max="13825" width="2.75" style="14" customWidth="1"/>
    <col min="13826" max="13826" width="2.75" style="14" bestFit="1" customWidth="1"/>
    <col min="13827" max="13828" width="9" style="14"/>
    <col min="13829" max="13830" width="8.625" style="14" customWidth="1"/>
    <col min="13831" max="13831" width="10.125" style="14" bestFit="1" customWidth="1"/>
    <col min="13832" max="13832" width="9" style="14"/>
    <col min="13833" max="13833" width="15" style="14" customWidth="1"/>
    <col min="13834" max="13836" width="9" style="14"/>
    <col min="13837" max="13839" width="9.375" style="14" customWidth="1"/>
    <col min="13840" max="13842" width="8.75" style="14" customWidth="1"/>
    <col min="13843" max="13843" width="9" style="14"/>
    <col min="13844" max="13844" width="12.75" style="14" customWidth="1"/>
    <col min="13845" max="13846" width="9" style="14"/>
    <col min="13847" max="13847" width="12.75" style="14" customWidth="1"/>
    <col min="13848" max="13849" width="9" style="14"/>
    <col min="13850" max="13850" width="9.375" style="14" customWidth="1"/>
    <col min="13851" max="13851" width="9.25" style="14" customWidth="1"/>
    <col min="13852" max="13853" width="12.75" style="14" customWidth="1"/>
    <col min="13854" max="13857" width="7.625" style="14" customWidth="1"/>
    <col min="13858" max="13859" width="12.75" style="14" customWidth="1"/>
    <col min="13860" max="13863" width="7.625" style="14" customWidth="1"/>
    <col min="13864" max="13865" width="12.75" style="14" customWidth="1"/>
    <col min="13866" max="13869" width="7.625" style="14" customWidth="1"/>
    <col min="13870" max="14072" width="9" style="14"/>
    <col min="14073" max="14073" width="9.75" style="14" bestFit="1" customWidth="1"/>
    <col min="14074" max="14075" width="2.75" style="14" bestFit="1" customWidth="1"/>
    <col min="14076" max="14077" width="2.75" style="14" customWidth="1"/>
    <col min="14078" max="14079" width="2.75" style="14" bestFit="1" customWidth="1"/>
    <col min="14080" max="14081" width="2.75" style="14" customWidth="1"/>
    <col min="14082" max="14082" width="2.75" style="14" bestFit="1" customWidth="1"/>
    <col min="14083" max="14084" width="9" style="14"/>
    <col min="14085" max="14086" width="8.625" style="14" customWidth="1"/>
    <col min="14087" max="14087" width="10.125" style="14" bestFit="1" customWidth="1"/>
    <col min="14088" max="14088" width="9" style="14"/>
    <col min="14089" max="14089" width="15" style="14" customWidth="1"/>
    <col min="14090" max="14092" width="9" style="14"/>
    <col min="14093" max="14095" width="9.375" style="14" customWidth="1"/>
    <col min="14096" max="14098" width="8.75" style="14" customWidth="1"/>
    <col min="14099" max="14099" width="9" style="14"/>
    <col min="14100" max="14100" width="12.75" style="14" customWidth="1"/>
    <col min="14101" max="14102" width="9" style="14"/>
    <col min="14103" max="14103" width="12.75" style="14" customWidth="1"/>
    <col min="14104" max="14105" width="9" style="14"/>
    <col min="14106" max="14106" width="9.375" style="14" customWidth="1"/>
    <col min="14107" max="14107" width="9.25" style="14" customWidth="1"/>
    <col min="14108" max="14109" width="12.75" style="14" customWidth="1"/>
    <col min="14110" max="14113" width="7.625" style="14" customWidth="1"/>
    <col min="14114" max="14115" width="12.75" style="14" customWidth="1"/>
    <col min="14116" max="14119" width="7.625" style="14" customWidth="1"/>
    <col min="14120" max="14121" width="12.75" style="14" customWidth="1"/>
    <col min="14122" max="14125" width="7.625" style="14" customWidth="1"/>
    <col min="14126" max="14328" width="9" style="14"/>
    <col min="14329" max="14329" width="9.75" style="14" bestFit="1" customWidth="1"/>
    <col min="14330" max="14331" width="2.75" style="14" bestFit="1" customWidth="1"/>
    <col min="14332" max="14333" width="2.75" style="14" customWidth="1"/>
    <col min="14334" max="14335" width="2.75" style="14" bestFit="1" customWidth="1"/>
    <col min="14336" max="14337" width="2.75" style="14" customWidth="1"/>
    <col min="14338" max="14338" width="2.75" style="14" bestFit="1" customWidth="1"/>
    <col min="14339" max="14340" width="9" style="14"/>
    <col min="14341" max="14342" width="8.625" style="14" customWidth="1"/>
    <col min="14343" max="14343" width="10.125" style="14" bestFit="1" customWidth="1"/>
    <col min="14344" max="14344" width="9" style="14"/>
    <col min="14345" max="14345" width="15" style="14" customWidth="1"/>
    <col min="14346" max="14348" width="9" style="14"/>
    <col min="14349" max="14351" width="9.375" style="14" customWidth="1"/>
    <col min="14352" max="14354" width="8.75" style="14" customWidth="1"/>
    <col min="14355" max="14355" width="9" style="14"/>
    <col min="14356" max="14356" width="12.75" style="14" customWidth="1"/>
    <col min="14357" max="14358" width="9" style="14"/>
    <col min="14359" max="14359" width="12.75" style="14" customWidth="1"/>
    <col min="14360" max="14361" width="9" style="14"/>
    <col min="14362" max="14362" width="9.375" style="14" customWidth="1"/>
    <col min="14363" max="14363" width="9.25" style="14" customWidth="1"/>
    <col min="14364" max="14365" width="12.75" style="14" customWidth="1"/>
    <col min="14366" max="14369" width="7.625" style="14" customWidth="1"/>
    <col min="14370" max="14371" width="12.75" style="14" customWidth="1"/>
    <col min="14372" max="14375" width="7.625" style="14" customWidth="1"/>
    <col min="14376" max="14377" width="12.75" style="14" customWidth="1"/>
    <col min="14378" max="14381" width="7.625" style="14" customWidth="1"/>
    <col min="14382" max="14584" width="9" style="14"/>
    <col min="14585" max="14585" width="9.75" style="14" bestFit="1" customWidth="1"/>
    <col min="14586" max="14587" width="2.75" style="14" bestFit="1" customWidth="1"/>
    <col min="14588" max="14589" width="2.75" style="14" customWidth="1"/>
    <col min="14590" max="14591" width="2.75" style="14" bestFit="1" customWidth="1"/>
    <col min="14592" max="14593" width="2.75" style="14" customWidth="1"/>
    <col min="14594" max="14594" width="2.75" style="14" bestFit="1" customWidth="1"/>
    <col min="14595" max="14596" width="9" style="14"/>
    <col min="14597" max="14598" width="8.625" style="14" customWidth="1"/>
    <col min="14599" max="14599" width="10.125" style="14" bestFit="1" customWidth="1"/>
    <col min="14600" max="14600" width="9" style="14"/>
    <col min="14601" max="14601" width="15" style="14" customWidth="1"/>
    <col min="14602" max="14604" width="9" style="14"/>
    <col min="14605" max="14607" width="9.375" style="14" customWidth="1"/>
    <col min="14608" max="14610" width="8.75" style="14" customWidth="1"/>
    <col min="14611" max="14611" width="9" style="14"/>
    <col min="14612" max="14612" width="12.75" style="14" customWidth="1"/>
    <col min="14613" max="14614" width="9" style="14"/>
    <col min="14615" max="14615" width="12.75" style="14" customWidth="1"/>
    <col min="14616" max="14617" width="9" style="14"/>
    <col min="14618" max="14618" width="9.375" style="14" customWidth="1"/>
    <col min="14619" max="14619" width="9.25" style="14" customWidth="1"/>
    <col min="14620" max="14621" width="12.75" style="14" customWidth="1"/>
    <col min="14622" max="14625" width="7.625" style="14" customWidth="1"/>
    <col min="14626" max="14627" width="12.75" style="14" customWidth="1"/>
    <col min="14628" max="14631" width="7.625" style="14" customWidth="1"/>
    <col min="14632" max="14633" width="12.75" style="14" customWidth="1"/>
    <col min="14634" max="14637" width="7.625" style="14" customWidth="1"/>
    <col min="14638" max="14840" width="9" style="14"/>
    <col min="14841" max="14841" width="9.75" style="14" bestFit="1" customWidth="1"/>
    <col min="14842" max="14843" width="2.75" style="14" bestFit="1" customWidth="1"/>
    <col min="14844" max="14845" width="2.75" style="14" customWidth="1"/>
    <col min="14846" max="14847" width="2.75" style="14" bestFit="1" customWidth="1"/>
    <col min="14848" max="14849" width="2.75" style="14" customWidth="1"/>
    <col min="14850" max="14850" width="2.75" style="14" bestFit="1" customWidth="1"/>
    <col min="14851" max="14852" width="9" style="14"/>
    <col min="14853" max="14854" width="8.625" style="14" customWidth="1"/>
    <col min="14855" max="14855" width="10.125" style="14" bestFit="1" customWidth="1"/>
    <col min="14856" max="14856" width="9" style="14"/>
    <col min="14857" max="14857" width="15" style="14" customWidth="1"/>
    <col min="14858" max="14860" width="9" style="14"/>
    <col min="14861" max="14863" width="9.375" style="14" customWidth="1"/>
    <col min="14864" max="14866" width="8.75" style="14" customWidth="1"/>
    <col min="14867" max="14867" width="9" style="14"/>
    <col min="14868" max="14868" width="12.75" style="14" customWidth="1"/>
    <col min="14869" max="14870" width="9" style="14"/>
    <col min="14871" max="14871" width="12.75" style="14" customWidth="1"/>
    <col min="14872" max="14873" width="9" style="14"/>
    <col min="14874" max="14874" width="9.375" style="14" customWidth="1"/>
    <col min="14875" max="14875" width="9.25" style="14" customWidth="1"/>
    <col min="14876" max="14877" width="12.75" style="14" customWidth="1"/>
    <col min="14878" max="14881" width="7.625" style="14" customWidth="1"/>
    <col min="14882" max="14883" width="12.75" style="14" customWidth="1"/>
    <col min="14884" max="14887" width="7.625" style="14" customWidth="1"/>
    <col min="14888" max="14889" width="12.75" style="14" customWidth="1"/>
    <col min="14890" max="14893" width="7.625" style="14" customWidth="1"/>
    <col min="14894" max="15096" width="9" style="14"/>
    <col min="15097" max="15097" width="9.75" style="14" bestFit="1" customWidth="1"/>
    <col min="15098" max="15099" width="2.75" style="14" bestFit="1" customWidth="1"/>
    <col min="15100" max="15101" width="2.75" style="14" customWidth="1"/>
    <col min="15102" max="15103" width="2.75" style="14" bestFit="1" customWidth="1"/>
    <col min="15104" max="15105" width="2.75" style="14" customWidth="1"/>
    <col min="15106" max="15106" width="2.75" style="14" bestFit="1" customWidth="1"/>
    <col min="15107" max="15108" width="9" style="14"/>
    <col min="15109" max="15110" width="8.625" style="14" customWidth="1"/>
    <col min="15111" max="15111" width="10.125" style="14" bestFit="1" customWidth="1"/>
    <col min="15112" max="15112" width="9" style="14"/>
    <col min="15113" max="15113" width="15" style="14" customWidth="1"/>
    <col min="15114" max="15116" width="9" style="14"/>
    <col min="15117" max="15119" width="9.375" style="14" customWidth="1"/>
    <col min="15120" max="15122" width="8.75" style="14" customWidth="1"/>
    <col min="15123" max="15123" width="9" style="14"/>
    <col min="15124" max="15124" width="12.75" style="14" customWidth="1"/>
    <col min="15125" max="15126" width="9" style="14"/>
    <col min="15127" max="15127" width="12.75" style="14" customWidth="1"/>
    <col min="15128" max="15129" width="9" style="14"/>
    <col min="15130" max="15130" width="9.375" style="14" customWidth="1"/>
    <col min="15131" max="15131" width="9.25" style="14" customWidth="1"/>
    <col min="15132" max="15133" width="12.75" style="14" customWidth="1"/>
    <col min="15134" max="15137" width="7.625" style="14" customWidth="1"/>
    <col min="15138" max="15139" width="12.75" style="14" customWidth="1"/>
    <col min="15140" max="15143" width="7.625" style="14" customWidth="1"/>
    <col min="15144" max="15145" width="12.75" style="14" customWidth="1"/>
    <col min="15146" max="15149" width="7.625" style="14" customWidth="1"/>
    <col min="15150" max="15352" width="9" style="14"/>
    <col min="15353" max="15353" width="9.75" style="14" bestFit="1" customWidth="1"/>
    <col min="15354" max="15355" width="2.75" style="14" bestFit="1" customWidth="1"/>
    <col min="15356" max="15357" width="2.75" style="14" customWidth="1"/>
    <col min="15358" max="15359" width="2.75" style="14" bestFit="1" customWidth="1"/>
    <col min="15360" max="15361" width="2.75" style="14" customWidth="1"/>
    <col min="15362" max="15362" width="2.75" style="14" bestFit="1" customWidth="1"/>
    <col min="15363" max="15364" width="9" style="14"/>
    <col min="15365" max="15366" width="8.625" style="14" customWidth="1"/>
    <col min="15367" max="15367" width="10.125" style="14" bestFit="1" customWidth="1"/>
    <col min="15368" max="15368" width="9" style="14"/>
    <col min="15369" max="15369" width="15" style="14" customWidth="1"/>
    <col min="15370" max="15372" width="9" style="14"/>
    <col min="15373" max="15375" width="9.375" style="14" customWidth="1"/>
    <col min="15376" max="15378" width="8.75" style="14" customWidth="1"/>
    <col min="15379" max="15379" width="9" style="14"/>
    <col min="15380" max="15380" width="12.75" style="14" customWidth="1"/>
    <col min="15381" max="15382" width="9" style="14"/>
    <col min="15383" max="15383" width="12.75" style="14" customWidth="1"/>
    <col min="15384" max="15385" width="9" style="14"/>
    <col min="15386" max="15386" width="9.375" style="14" customWidth="1"/>
    <col min="15387" max="15387" width="9.25" style="14" customWidth="1"/>
    <col min="15388" max="15389" width="12.75" style="14" customWidth="1"/>
    <col min="15390" max="15393" width="7.625" style="14" customWidth="1"/>
    <col min="15394" max="15395" width="12.75" style="14" customWidth="1"/>
    <col min="15396" max="15399" width="7.625" style="14" customWidth="1"/>
    <col min="15400" max="15401" width="12.75" style="14" customWidth="1"/>
    <col min="15402" max="15405" width="7.625" style="14" customWidth="1"/>
    <col min="15406" max="15608" width="9" style="14"/>
    <col min="15609" max="15609" width="9.75" style="14" bestFit="1" customWidth="1"/>
    <col min="15610" max="15611" width="2.75" style="14" bestFit="1" customWidth="1"/>
    <col min="15612" max="15613" width="2.75" style="14" customWidth="1"/>
    <col min="15614" max="15615" width="2.75" style="14" bestFit="1" customWidth="1"/>
    <col min="15616" max="15617" width="2.75" style="14" customWidth="1"/>
    <col min="15618" max="15618" width="2.75" style="14" bestFit="1" customWidth="1"/>
    <col min="15619" max="15620" width="9" style="14"/>
    <col min="15621" max="15622" width="8.625" style="14" customWidth="1"/>
    <col min="15623" max="15623" width="10.125" style="14" bestFit="1" customWidth="1"/>
    <col min="15624" max="15624" width="9" style="14"/>
    <col min="15625" max="15625" width="15" style="14" customWidth="1"/>
    <col min="15626" max="15628" width="9" style="14"/>
    <col min="15629" max="15631" width="9.375" style="14" customWidth="1"/>
    <col min="15632" max="15634" width="8.75" style="14" customWidth="1"/>
    <col min="15635" max="15635" width="9" style="14"/>
    <col min="15636" max="15636" width="12.75" style="14" customWidth="1"/>
    <col min="15637" max="15638" width="9" style="14"/>
    <col min="15639" max="15639" width="12.75" style="14" customWidth="1"/>
    <col min="15640" max="15641" width="9" style="14"/>
    <col min="15642" max="15642" width="9.375" style="14" customWidth="1"/>
    <col min="15643" max="15643" width="9.25" style="14" customWidth="1"/>
    <col min="15644" max="15645" width="12.75" style="14" customWidth="1"/>
    <col min="15646" max="15649" width="7.625" style="14" customWidth="1"/>
    <col min="15650" max="15651" width="12.75" style="14" customWidth="1"/>
    <col min="15652" max="15655" width="7.625" style="14" customWidth="1"/>
    <col min="15656" max="15657" width="12.75" style="14" customWidth="1"/>
    <col min="15658" max="15661" width="7.625" style="14" customWidth="1"/>
    <col min="15662" max="15864" width="9" style="14"/>
    <col min="15865" max="15865" width="9.75" style="14" bestFit="1" customWidth="1"/>
    <col min="15866" max="15867" width="2.75" style="14" bestFit="1" customWidth="1"/>
    <col min="15868" max="15869" width="2.75" style="14" customWidth="1"/>
    <col min="15870" max="15871" width="2.75" style="14" bestFit="1" customWidth="1"/>
    <col min="15872" max="15873" width="2.75" style="14" customWidth="1"/>
    <col min="15874" max="15874" width="2.75" style="14" bestFit="1" customWidth="1"/>
    <col min="15875" max="15876" width="9" style="14"/>
    <col min="15877" max="15878" width="8.625" style="14" customWidth="1"/>
    <col min="15879" max="15879" width="10.125" style="14" bestFit="1" customWidth="1"/>
    <col min="15880" max="15880" width="9" style="14"/>
    <col min="15881" max="15881" width="15" style="14" customWidth="1"/>
    <col min="15882" max="15884" width="9" style="14"/>
    <col min="15885" max="15887" width="9.375" style="14" customWidth="1"/>
    <col min="15888" max="15890" width="8.75" style="14" customWidth="1"/>
    <col min="15891" max="15891" width="9" style="14"/>
    <col min="15892" max="15892" width="12.75" style="14" customWidth="1"/>
    <col min="15893" max="15894" width="9" style="14"/>
    <col min="15895" max="15895" width="12.75" style="14" customWidth="1"/>
    <col min="15896" max="15897" width="9" style="14"/>
    <col min="15898" max="15898" width="9.375" style="14" customWidth="1"/>
    <col min="15899" max="15899" width="9.25" style="14" customWidth="1"/>
    <col min="15900" max="15901" width="12.75" style="14" customWidth="1"/>
    <col min="15902" max="15905" width="7.625" style="14" customWidth="1"/>
    <col min="15906" max="15907" width="12.75" style="14" customWidth="1"/>
    <col min="15908" max="15911" width="7.625" style="14" customWidth="1"/>
    <col min="15912" max="15913" width="12.75" style="14" customWidth="1"/>
    <col min="15914" max="15917" width="7.625" style="14" customWidth="1"/>
    <col min="15918" max="16120" width="9" style="14"/>
    <col min="16121" max="16121" width="9.75" style="14" bestFit="1" customWidth="1"/>
    <col min="16122" max="16123" width="2.75" style="14" bestFit="1" customWidth="1"/>
    <col min="16124" max="16125" width="2.75" style="14" customWidth="1"/>
    <col min="16126" max="16127" width="2.75" style="14" bestFit="1" customWidth="1"/>
    <col min="16128" max="16129" width="2.75" style="14" customWidth="1"/>
    <col min="16130" max="16130" width="2.75" style="14" bestFit="1" customWidth="1"/>
    <col min="16131" max="16132" width="9" style="14"/>
    <col min="16133" max="16134" width="8.625" style="14" customWidth="1"/>
    <col min="16135" max="16135" width="10.125" style="14" bestFit="1" customWidth="1"/>
    <col min="16136" max="16136" width="9" style="14"/>
    <col min="16137" max="16137" width="15" style="14" customWidth="1"/>
    <col min="16138" max="16140" width="9" style="14"/>
    <col min="16141" max="16143" width="9.375" style="14" customWidth="1"/>
    <col min="16144" max="16146" width="8.75" style="14" customWidth="1"/>
    <col min="16147" max="16147" width="9" style="14"/>
    <col min="16148" max="16148" width="12.75" style="14" customWidth="1"/>
    <col min="16149" max="16150" width="9" style="14"/>
    <col min="16151" max="16151" width="12.75" style="14" customWidth="1"/>
    <col min="16152" max="16153" width="9" style="14"/>
    <col min="16154" max="16154" width="9.375" style="14" customWidth="1"/>
    <col min="16155" max="16155" width="9.25" style="14" customWidth="1"/>
    <col min="16156" max="16157" width="12.75" style="14" customWidth="1"/>
    <col min="16158" max="16161" width="7.625" style="14" customWidth="1"/>
    <col min="16162" max="16163" width="12.75" style="14" customWidth="1"/>
    <col min="16164" max="16167" width="7.625" style="14" customWidth="1"/>
    <col min="16168" max="16169" width="12.75" style="14" customWidth="1"/>
    <col min="16170" max="16173" width="7.625" style="14" customWidth="1"/>
    <col min="16174" max="16384" width="9" style="14"/>
  </cols>
  <sheetData>
    <row r="1" spans="1:48" s="6" customFormat="1" ht="31.5" customHeight="1" x14ac:dyDescent="0.15">
      <c r="A1" s="250"/>
      <c r="B1" s="926" t="s">
        <v>283</v>
      </c>
      <c r="C1" s="929" t="s">
        <v>284</v>
      </c>
      <c r="D1" s="251" t="s">
        <v>26</v>
      </c>
      <c r="E1" s="251"/>
      <c r="F1" s="251"/>
      <c r="G1" s="251"/>
      <c r="H1" s="251"/>
      <c r="I1" s="251"/>
      <c r="J1" s="252"/>
      <c r="K1" s="252"/>
      <c r="L1" s="252"/>
      <c r="M1" s="251"/>
      <c r="N1" s="251"/>
      <c r="O1" s="251"/>
      <c r="P1" s="183" t="s">
        <v>3</v>
      </c>
      <c r="Q1" s="184"/>
      <c r="R1" s="184"/>
      <c r="S1" s="184"/>
      <c r="T1" s="184"/>
      <c r="U1" s="184"/>
      <c r="V1" s="184"/>
      <c r="W1" s="184"/>
      <c r="X1" s="184"/>
      <c r="Y1" s="185"/>
      <c r="Z1" s="932" t="s">
        <v>190</v>
      </c>
      <c r="AA1" s="933"/>
      <c r="AB1" s="932" t="s">
        <v>114</v>
      </c>
      <c r="AC1" s="934"/>
      <c r="AD1" s="933"/>
      <c r="AE1" s="183" t="s">
        <v>37</v>
      </c>
      <c r="AF1" s="184"/>
      <c r="AG1" s="184"/>
      <c r="AH1" s="184"/>
      <c r="AI1" s="184"/>
      <c r="AJ1" s="184"/>
      <c r="AK1" s="184"/>
      <c r="AL1" s="184"/>
      <c r="AM1" s="184"/>
      <c r="AN1" s="185"/>
      <c r="AO1" s="183" t="s">
        <v>72</v>
      </c>
      <c r="AP1" s="184"/>
      <c r="AQ1" s="184"/>
      <c r="AR1" s="184"/>
      <c r="AS1" s="184"/>
      <c r="AT1" s="184"/>
      <c r="AU1" s="184"/>
      <c r="AV1" s="185"/>
    </row>
    <row r="2" spans="1:48" s="4" customFormat="1" ht="18.75" customHeight="1" x14ac:dyDescent="0.15">
      <c r="A2" s="253"/>
      <c r="B2" s="927"/>
      <c r="C2" s="930"/>
      <c r="D2" s="254">
        <v>1</v>
      </c>
      <c r="E2" s="124">
        <f>D2+1</f>
        <v>2</v>
      </c>
      <c r="F2" s="124">
        <f t="shared" ref="F2:O2" si="0">E2+1</f>
        <v>3</v>
      </c>
      <c r="G2" s="124">
        <f t="shared" si="0"/>
        <v>4</v>
      </c>
      <c r="H2" s="124">
        <f t="shared" si="0"/>
        <v>5</v>
      </c>
      <c r="I2" s="124">
        <f t="shared" si="0"/>
        <v>6</v>
      </c>
      <c r="J2" s="124">
        <f t="shared" si="0"/>
        <v>7</v>
      </c>
      <c r="K2" s="124">
        <f t="shared" si="0"/>
        <v>8</v>
      </c>
      <c r="L2" s="125">
        <f t="shared" si="0"/>
        <v>9</v>
      </c>
      <c r="M2" s="124">
        <f t="shared" si="0"/>
        <v>10</v>
      </c>
      <c r="N2" s="124">
        <f t="shared" si="0"/>
        <v>11</v>
      </c>
      <c r="O2" s="124">
        <f t="shared" si="0"/>
        <v>12</v>
      </c>
      <c r="P2" s="123">
        <v>1</v>
      </c>
      <c r="Q2" s="124">
        <f>P2+1</f>
        <v>2</v>
      </c>
      <c r="R2" s="124">
        <f t="shared" ref="R2:X2" si="1">Q2+1</f>
        <v>3</v>
      </c>
      <c r="S2" s="124">
        <f t="shared" si="1"/>
        <v>4</v>
      </c>
      <c r="T2" s="125">
        <f t="shared" si="1"/>
        <v>5</v>
      </c>
      <c r="U2" s="125">
        <f t="shared" si="1"/>
        <v>6</v>
      </c>
      <c r="V2" s="125">
        <f t="shared" si="1"/>
        <v>7</v>
      </c>
      <c r="W2" s="125">
        <f t="shared" si="1"/>
        <v>8</v>
      </c>
      <c r="X2" s="125">
        <f t="shared" si="1"/>
        <v>9</v>
      </c>
      <c r="Y2" s="126">
        <f>X2+1</f>
        <v>10</v>
      </c>
      <c r="Z2" s="123">
        <v>1</v>
      </c>
      <c r="AA2" s="124">
        <v>2</v>
      </c>
      <c r="AB2" s="123">
        <v>1</v>
      </c>
      <c r="AC2" s="125">
        <v>2</v>
      </c>
      <c r="AD2" s="126">
        <v>3</v>
      </c>
      <c r="AE2" s="123">
        <v>1</v>
      </c>
      <c r="AF2" s="124">
        <v>2</v>
      </c>
      <c r="AG2" s="124">
        <v>3</v>
      </c>
      <c r="AH2" s="124">
        <v>4</v>
      </c>
      <c r="AI2" s="124">
        <v>5</v>
      </c>
      <c r="AJ2" s="124">
        <v>6</v>
      </c>
      <c r="AK2" s="124">
        <v>7</v>
      </c>
      <c r="AL2" s="124">
        <v>8</v>
      </c>
      <c r="AM2" s="125">
        <v>9</v>
      </c>
      <c r="AN2" s="126">
        <v>10</v>
      </c>
      <c r="AO2" s="123">
        <v>1</v>
      </c>
      <c r="AP2" s="124">
        <f>AO2+1</f>
        <v>2</v>
      </c>
      <c r="AQ2" s="124">
        <f t="shared" ref="AQ2:AV2" si="2">AP2+1</f>
        <v>3</v>
      </c>
      <c r="AR2" s="124">
        <f t="shared" si="2"/>
        <v>4</v>
      </c>
      <c r="AS2" s="124">
        <f t="shared" si="2"/>
        <v>5</v>
      </c>
      <c r="AT2" s="124">
        <f t="shared" si="2"/>
        <v>6</v>
      </c>
      <c r="AU2" s="124">
        <f t="shared" si="2"/>
        <v>7</v>
      </c>
      <c r="AV2" s="126">
        <f t="shared" si="2"/>
        <v>8</v>
      </c>
    </row>
    <row r="3" spans="1:48" s="36" customFormat="1" ht="103.5" customHeight="1" thickBot="1" x14ac:dyDescent="0.25">
      <c r="A3" s="266" t="s">
        <v>203</v>
      </c>
      <c r="B3" s="928"/>
      <c r="C3" s="931"/>
      <c r="D3" s="172" t="s">
        <v>108</v>
      </c>
      <c r="E3" s="173" t="s">
        <v>118</v>
      </c>
      <c r="F3" s="527" t="s">
        <v>28</v>
      </c>
      <c r="G3" s="527" t="s">
        <v>27</v>
      </c>
      <c r="H3" s="529" t="s">
        <v>281</v>
      </c>
      <c r="I3" s="528" t="s">
        <v>75</v>
      </c>
      <c r="J3" s="529"/>
      <c r="K3" s="527"/>
      <c r="L3" s="173" t="s">
        <v>29</v>
      </c>
      <c r="M3" s="177" t="s">
        <v>119</v>
      </c>
      <c r="N3" s="177" t="s">
        <v>30</v>
      </c>
      <c r="O3" s="178" t="s">
        <v>120</v>
      </c>
      <c r="P3" s="530" t="s">
        <v>194</v>
      </c>
      <c r="Q3" s="531" t="s">
        <v>336</v>
      </c>
      <c r="R3" s="531" t="s">
        <v>196</v>
      </c>
      <c r="S3" s="531" t="s">
        <v>197</v>
      </c>
      <c r="T3" s="532"/>
      <c r="U3" s="532"/>
      <c r="V3" s="532"/>
      <c r="W3" s="532"/>
      <c r="X3" s="532"/>
      <c r="Y3" s="533"/>
      <c r="Z3" s="530" t="s">
        <v>198</v>
      </c>
      <c r="AA3" s="583" t="s">
        <v>199</v>
      </c>
      <c r="AB3" s="530" t="s">
        <v>201</v>
      </c>
      <c r="AC3" s="534" t="s">
        <v>202</v>
      </c>
      <c r="AD3" s="535" t="s">
        <v>184</v>
      </c>
      <c r="AE3" s="530" t="s">
        <v>64</v>
      </c>
      <c r="AF3" s="536" t="s">
        <v>200</v>
      </c>
      <c r="AG3" s="527" t="s">
        <v>82</v>
      </c>
      <c r="AH3" s="527" t="s">
        <v>86</v>
      </c>
      <c r="AI3" s="527" t="s">
        <v>85</v>
      </c>
      <c r="AJ3" s="527" t="s">
        <v>136</v>
      </c>
      <c r="AK3" s="527" t="s">
        <v>137</v>
      </c>
      <c r="AL3" s="527" t="s">
        <v>69</v>
      </c>
      <c r="AM3" s="529" t="s">
        <v>36</v>
      </c>
      <c r="AN3" s="417"/>
      <c r="AO3" s="172" t="s">
        <v>83</v>
      </c>
      <c r="AP3" s="173" t="s">
        <v>86</v>
      </c>
      <c r="AQ3" s="173" t="s">
        <v>81</v>
      </c>
      <c r="AR3" s="173" t="s">
        <v>136</v>
      </c>
      <c r="AS3" s="173" t="s">
        <v>137</v>
      </c>
      <c r="AT3" s="173" t="s">
        <v>52</v>
      </c>
      <c r="AU3" s="173" t="s">
        <v>84</v>
      </c>
      <c r="AV3" s="535" t="s">
        <v>38</v>
      </c>
    </row>
    <row r="4" spans="1:48" ht="28.15" customHeight="1" x14ac:dyDescent="0.2">
      <c r="A4" s="537" t="s">
        <v>189</v>
      </c>
      <c r="B4" s="339">
        <f ca="1">IF(AND(SUM(D4:K4,L4:M4)=COUNT(D4:K4,L4:M4),COUNT(D4:K4,L4:M4)&gt;0),ROW(B4),0)</f>
        <v>4</v>
      </c>
      <c r="C4" s="249">
        <f ca="1">IF(AND(SUM(D4:K4,N4:O4)=COUNT(D4:K4,N4:O4),COUNT(D4:K4,N4:O4)&gt;0),ROW(B4),0)</f>
        <v>4</v>
      </c>
      <c r="D4" s="577"/>
      <c r="E4" s="578"/>
      <c r="F4" s="570">
        <f t="shared" ref="F4" ca="1" si="3">IF(AND(OR(R4="",MW&gt;=R4),OR(S4="",S4&gt;MW)),1,0)</f>
        <v>1</v>
      </c>
      <c r="G4" s="579"/>
      <c r="H4" s="579"/>
      <c r="I4" s="580"/>
      <c r="J4" s="578"/>
      <c r="K4" s="579"/>
      <c r="L4" s="578"/>
      <c r="M4" s="579"/>
      <c r="N4" s="578"/>
      <c r="O4" s="578"/>
      <c r="P4" s="257"/>
      <c r="Q4" s="258"/>
      <c r="R4" s="259"/>
      <c r="S4" s="259"/>
      <c r="T4" s="260"/>
      <c r="U4" s="260"/>
      <c r="V4" s="260"/>
      <c r="W4" s="260"/>
      <c r="X4" s="260"/>
      <c r="Y4" s="261"/>
      <c r="Z4" s="262" t="str">
        <f t="shared" ref="Z4:AC4" ca="1" si="4">IF($C$6=0,Z5,IF($B$5&lt;$C$6,Z5,Z6))</f>
        <v/>
      </c>
      <c r="AA4" s="263" t="str">
        <f t="shared" ca="1" si="4"/>
        <v/>
      </c>
      <c r="AB4" s="264" t="str">
        <f t="shared" ca="1" si="4"/>
        <v/>
      </c>
      <c r="AC4" s="215" t="str">
        <f t="shared" ca="1" si="4"/>
        <v/>
      </c>
      <c r="AD4" s="268" t="str">
        <f ca="1">IF($C$6=0,AD5,IF($B$5&lt;$C$6,AD5,AD6))</f>
        <v/>
      </c>
      <c r="AE4" s="221" t="str">
        <f ca="1">IF(OR(AF5="",AF6="4.4"),AE6,AE5)</f>
        <v>Standaard middelgrote stookinstallatie gestookt op standaard brandstof</v>
      </c>
      <c r="AF4" s="222" t="str">
        <f ca="1">IF($C$6=0,AF5,IF($B$5=0,AF6,IF($B$5&lt;$C$6,AF5,AF6)))</f>
        <v>4.126</v>
      </c>
      <c r="AG4" s="222" t="str">
        <f t="shared" ref="AG4:AU4" ca="1" si="5">IF($C$6=0,AG5,IF($B$5=0,AG6,IF($B$5&lt;$C$6,AG5,AG6)))</f>
        <v>nee</v>
      </c>
      <c r="AH4" s="222" t="str">
        <f t="shared" ca="1" si="5"/>
        <v>ja</v>
      </c>
      <c r="AI4" s="222" t="str">
        <f t="shared" ca="1" si="5"/>
        <v>nee</v>
      </c>
      <c r="AJ4" s="222" t="str">
        <f t="shared" ca="1" si="5"/>
        <v>nee</v>
      </c>
      <c r="AK4" s="222" t="str">
        <f t="shared" ca="1" si="5"/>
        <v>nee</v>
      </c>
      <c r="AL4" s="222" t="str">
        <f t="shared" ca="1" si="5"/>
        <v>nee</v>
      </c>
      <c r="AM4" s="222" t="str">
        <f t="shared" ca="1" si="5"/>
        <v>ja</v>
      </c>
      <c r="AN4" s="225" t="str">
        <f t="shared" ca="1" si="5"/>
        <v/>
      </c>
      <c r="AO4" s="221" t="str">
        <f t="shared" ca="1" si="5"/>
        <v>tenzij installatie onderdeel is van grootschalige energieopwekking, zie art 3.55</v>
      </c>
      <c r="AP4" s="214" t="str">
        <f t="shared" ca="1" si="5"/>
        <v>installatie kan onderdeel zijn van een samenstel van stookinstallaties, omdat de samenstelregel geldt vanaf 1 MW, zie art. 4.1292 3e lid</v>
      </c>
      <c r="AQ4" s="214" t="str">
        <f t="shared" ca="1" si="5"/>
        <v>zie art. 4.1296</v>
      </c>
      <c r="AR4" s="214" t="str">
        <f t="shared" ca="1" si="5"/>
        <v>tenzij de stookinstallatie vergunningplichtig is, zie art 3.6</v>
      </c>
      <c r="AS4" s="214" t="str">
        <f t="shared" ca="1" si="5"/>
        <v>tenzij de stookinstallatie vergunningplichtig is, zie art 3.6</v>
      </c>
      <c r="AT4" s="214" t="str">
        <f t="shared" ca="1" si="5"/>
        <v>de 500-uursregeling geldt niet door de opgegeven bedrijfstijd, zie art. 4.1299.</v>
      </c>
      <c r="AU4" s="214" t="str">
        <f t="shared" ca="1" si="5"/>
        <v>er geldt een 4-jaarlijkse keuringsverplichting, zie art. 4.1326</v>
      </c>
      <c r="AV4" s="216"/>
    </row>
    <row r="5" spans="1:48" x14ac:dyDescent="0.2">
      <c r="A5" s="553" t="s">
        <v>29</v>
      </c>
      <c r="B5" s="192">
        <f ca="1">IF(Geldig,MAX(B7:B38),0)</f>
        <v>30</v>
      </c>
      <c r="C5" s="195"/>
      <c r="D5" s="571" t="str">
        <f t="shared" ref="D5:AV5" ca="1" si="6">IF($B$5=0,"",IF(INDEX(D$1:D$38,$B$5)="","",INDEX(D$1:D$38,$B$5)))</f>
        <v/>
      </c>
      <c r="E5" s="193" t="str">
        <f t="shared" ca="1" si="6"/>
        <v/>
      </c>
      <c r="F5" s="193">
        <f t="shared" ca="1" si="6"/>
        <v>1</v>
      </c>
      <c r="G5" s="193">
        <f t="shared" ca="1" si="6"/>
        <v>1</v>
      </c>
      <c r="H5" s="193">
        <f t="shared" ca="1" si="6"/>
        <v>1</v>
      </c>
      <c r="I5" s="193" t="str">
        <f t="shared" ca="1" si="6"/>
        <v/>
      </c>
      <c r="J5" s="194" t="str">
        <f t="shared" ca="1" si="6"/>
        <v/>
      </c>
      <c r="K5" s="193" t="str">
        <f t="shared" ca="1" si="6"/>
        <v/>
      </c>
      <c r="L5" s="194">
        <f t="shared" ca="1" si="6"/>
        <v>1</v>
      </c>
      <c r="M5" s="193" t="str">
        <f t="shared" ca="1" si="6"/>
        <v/>
      </c>
      <c r="N5" s="194">
        <f t="shared" ca="1" si="6"/>
        <v>0</v>
      </c>
      <c r="O5" s="194" t="str">
        <f t="shared" ca="1" si="6"/>
        <v/>
      </c>
      <c r="P5" s="554" t="str">
        <f t="shared" ca="1" si="6"/>
        <v>overig standaard middelgroot</v>
      </c>
      <c r="Q5" s="555" t="str">
        <f t="shared" ca="1" si="6"/>
        <v>standaard</v>
      </c>
      <c r="R5" s="555">
        <f t="shared" ca="1" si="6"/>
        <v>1</v>
      </c>
      <c r="S5" s="555">
        <f t="shared" ca="1" si="6"/>
        <v>50</v>
      </c>
      <c r="T5" s="556" t="str">
        <f t="shared" ca="1" si="6"/>
        <v/>
      </c>
      <c r="U5" s="556" t="str">
        <f t="shared" ca="1" si="6"/>
        <v/>
      </c>
      <c r="V5" s="556" t="str">
        <f t="shared" ca="1" si="6"/>
        <v/>
      </c>
      <c r="W5" s="556" t="str">
        <f t="shared" ca="1" si="6"/>
        <v/>
      </c>
      <c r="X5" s="556" t="str">
        <f t="shared" ca="1" si="6"/>
        <v/>
      </c>
      <c r="Y5" s="557" t="str">
        <f t="shared" ca="1" si="6"/>
        <v/>
      </c>
      <c r="Z5" s="558" t="str">
        <f t="shared" ca="1" si="6"/>
        <v/>
      </c>
      <c r="AA5" s="559" t="str">
        <f t="shared" ca="1" si="6"/>
        <v/>
      </c>
      <c r="AB5" s="560" t="str">
        <f t="shared" ca="1" si="6"/>
        <v/>
      </c>
      <c r="AC5" s="561" t="str">
        <f t="shared" ca="1" si="6"/>
        <v/>
      </c>
      <c r="AD5" s="562" t="str">
        <f t="shared" ca="1" si="6"/>
        <v/>
      </c>
      <c r="AE5" s="554" t="str">
        <f ca="1">IF($B$5=0,"",IF(INDEX(AE$1:AE$38,$B$5)="","",INDEX(AE$1:AE$38,$B$5)))</f>
        <v>Standaard middelgrote stookinstallatie gestookt op standaard brandstof</v>
      </c>
      <c r="AF5" s="563" t="str">
        <f t="shared" ca="1" si="6"/>
        <v>4.126</v>
      </c>
      <c r="AG5" s="564" t="str">
        <f t="shared" ca="1" si="6"/>
        <v>nee</v>
      </c>
      <c r="AH5" s="564" t="str">
        <f t="shared" ca="1" si="6"/>
        <v>ja</v>
      </c>
      <c r="AI5" s="564" t="str">
        <f t="shared" ca="1" si="6"/>
        <v>nee</v>
      </c>
      <c r="AJ5" s="564" t="str">
        <f t="shared" ca="1" si="6"/>
        <v>nee</v>
      </c>
      <c r="AK5" s="564" t="str">
        <f t="shared" ca="1" si="6"/>
        <v>nee</v>
      </c>
      <c r="AL5" s="564" t="str">
        <f t="shared" ca="1" si="6"/>
        <v>nee</v>
      </c>
      <c r="AM5" s="565" t="str">
        <f t="shared" ca="1" si="6"/>
        <v>ja</v>
      </c>
      <c r="AN5" s="566" t="str">
        <f t="shared" ca="1" si="6"/>
        <v/>
      </c>
      <c r="AO5" s="567" t="str">
        <f t="shared" ca="1" si="6"/>
        <v>tenzij installatie onderdeel is van grootschalige energieopwekking, zie art 3.55</v>
      </c>
      <c r="AP5" s="568" t="str">
        <f t="shared" ca="1" si="6"/>
        <v>installatie kan onderdeel zijn van een samenstel van stookinstallaties, omdat de samenstelregel geldt vanaf 1 MW, zie art. 4.1292 3e lid</v>
      </c>
      <c r="AQ5" s="568" t="str">
        <f t="shared" ca="1" si="6"/>
        <v>zie art. 4.1296</v>
      </c>
      <c r="AR5" s="568" t="str">
        <f t="shared" ca="1" si="6"/>
        <v>tenzij de stookinstallatie vergunningplichtig is, zie art 3.6</v>
      </c>
      <c r="AS5" s="568" t="str">
        <f t="shared" ca="1" si="6"/>
        <v>tenzij de stookinstallatie vergunningplichtig is, zie art 3.6</v>
      </c>
      <c r="AT5" s="568" t="str">
        <f t="shared" ca="1" si="6"/>
        <v>de 500-uursregeling geldt niet door de opgegeven bedrijfstijd, zie art. 4.1299.</v>
      </c>
      <c r="AU5" s="568" t="str">
        <f t="shared" ca="1" si="6"/>
        <v>er geldt een 4-jaarlijkse keuringsverplichting, zie art. 4.1326</v>
      </c>
      <c r="AV5" s="569" t="str">
        <f t="shared" ca="1" si="6"/>
        <v/>
      </c>
    </row>
    <row r="6" spans="1:48" ht="12" thickBot="1" x14ac:dyDescent="0.25">
      <c r="A6" s="256" t="s">
        <v>30</v>
      </c>
      <c r="B6" s="188"/>
      <c r="C6" s="189">
        <f ca="1">IF(Geldig,MAX(C7:C38),0)</f>
        <v>0</v>
      </c>
      <c r="D6" s="572" t="str">
        <f t="shared" ref="D6:AV6" ca="1" si="7">IF($C$6=0,"",IF(INDEX(D$1:D$38,$C$6)="","",INDEX(D$1:D$38,$C$6)))</f>
        <v/>
      </c>
      <c r="E6" s="538" t="str">
        <f t="shared" ca="1" si="7"/>
        <v/>
      </c>
      <c r="F6" s="538" t="str">
        <f t="shared" ca="1" si="7"/>
        <v/>
      </c>
      <c r="G6" s="538" t="str">
        <f t="shared" ca="1" si="7"/>
        <v/>
      </c>
      <c r="H6" s="538" t="str">
        <f t="shared" ca="1" si="7"/>
        <v/>
      </c>
      <c r="I6" s="538" t="str">
        <f t="shared" ca="1" si="7"/>
        <v/>
      </c>
      <c r="J6" s="539" t="str">
        <f t="shared" ca="1" si="7"/>
        <v/>
      </c>
      <c r="K6" s="538" t="str">
        <f t="shared" ca="1" si="7"/>
        <v/>
      </c>
      <c r="L6" s="539" t="str">
        <f t="shared" ca="1" si="7"/>
        <v/>
      </c>
      <c r="M6" s="538" t="str">
        <f t="shared" ca="1" si="7"/>
        <v/>
      </c>
      <c r="N6" s="539" t="str">
        <f t="shared" ca="1" si="7"/>
        <v/>
      </c>
      <c r="O6" s="539" t="str">
        <f t="shared" ca="1" si="7"/>
        <v/>
      </c>
      <c r="P6" s="540" t="str">
        <f t="shared" ca="1" si="7"/>
        <v/>
      </c>
      <c r="Q6" s="541" t="str">
        <f t="shared" ca="1" si="7"/>
        <v/>
      </c>
      <c r="R6" s="541" t="str">
        <f t="shared" ca="1" si="7"/>
        <v/>
      </c>
      <c r="S6" s="541" t="str">
        <f t="shared" ca="1" si="7"/>
        <v/>
      </c>
      <c r="T6" s="542" t="str">
        <f t="shared" ca="1" si="7"/>
        <v/>
      </c>
      <c r="U6" s="542" t="str">
        <f t="shared" ca="1" si="7"/>
        <v/>
      </c>
      <c r="V6" s="542" t="str">
        <f t="shared" ca="1" si="7"/>
        <v/>
      </c>
      <c r="W6" s="542" t="str">
        <f t="shared" ca="1" si="7"/>
        <v/>
      </c>
      <c r="X6" s="542" t="str">
        <f t="shared" ca="1" si="7"/>
        <v/>
      </c>
      <c r="Y6" s="543" t="str">
        <f t="shared" ca="1" si="7"/>
        <v/>
      </c>
      <c r="Z6" s="544" t="str">
        <f t="shared" ca="1" si="7"/>
        <v/>
      </c>
      <c r="AA6" s="541" t="str">
        <f t="shared" ca="1" si="7"/>
        <v/>
      </c>
      <c r="AB6" s="545" t="str">
        <f t="shared" ca="1" si="7"/>
        <v/>
      </c>
      <c r="AC6" s="542" t="str">
        <f t="shared" ca="1" si="7"/>
        <v/>
      </c>
      <c r="AD6" s="546" t="str">
        <f t="shared" ca="1" si="7"/>
        <v/>
      </c>
      <c r="AE6" s="540" t="str">
        <f t="shared" ca="1" si="7"/>
        <v/>
      </c>
      <c r="AF6" s="538" t="str">
        <f t="shared" ca="1" si="7"/>
        <v/>
      </c>
      <c r="AG6" s="547" t="str">
        <f t="shared" ca="1" si="7"/>
        <v/>
      </c>
      <c r="AH6" s="547" t="str">
        <f t="shared" ca="1" si="7"/>
        <v/>
      </c>
      <c r="AI6" s="547" t="str">
        <f t="shared" ca="1" si="7"/>
        <v/>
      </c>
      <c r="AJ6" s="547" t="str">
        <f t="shared" ca="1" si="7"/>
        <v/>
      </c>
      <c r="AK6" s="547" t="str">
        <f t="shared" ca="1" si="7"/>
        <v/>
      </c>
      <c r="AL6" s="547" t="str">
        <f t="shared" ca="1" si="7"/>
        <v/>
      </c>
      <c r="AM6" s="548" t="str">
        <f t="shared" ca="1" si="7"/>
        <v/>
      </c>
      <c r="AN6" s="549" t="str">
        <f t="shared" ca="1" si="7"/>
        <v/>
      </c>
      <c r="AO6" s="550" t="str">
        <f t="shared" ca="1" si="7"/>
        <v/>
      </c>
      <c r="AP6" s="551" t="str">
        <f t="shared" ca="1" si="7"/>
        <v/>
      </c>
      <c r="AQ6" s="551" t="str">
        <f t="shared" ca="1" si="7"/>
        <v/>
      </c>
      <c r="AR6" s="551" t="str">
        <f t="shared" ca="1" si="7"/>
        <v/>
      </c>
      <c r="AS6" s="551" t="str">
        <f t="shared" ca="1" si="7"/>
        <v/>
      </c>
      <c r="AT6" s="551" t="str">
        <f t="shared" ca="1" si="7"/>
        <v/>
      </c>
      <c r="AU6" s="551" t="str">
        <f t="shared" ca="1" si="7"/>
        <v/>
      </c>
      <c r="AV6" s="552" t="str">
        <f t="shared" ca="1" si="7"/>
        <v/>
      </c>
    </row>
    <row r="7" spans="1:48" x14ac:dyDescent="0.2">
      <c r="A7" s="298"/>
      <c r="B7" s="339">
        <f t="shared" ref="B7:B35" ca="1" si="8">IF(AND(SUM(D7:K7,L7:M7)=COUNT(D7:K7,L7:M7),COUNT(D7:K7,L7:M7)&gt;0),ROW(B7),0)</f>
        <v>0</v>
      </c>
      <c r="C7" s="249">
        <f t="shared" ref="C7:C35" ca="1" si="9">IF(AND(SUM(D7:K7,N7:O7)=COUNT(D7:K7,N7:O7),COUNT(D7:K7,N7:O7)&gt;0),ROW(B7),0)</f>
        <v>0</v>
      </c>
      <c r="D7" s="573"/>
      <c r="E7" s="42"/>
      <c r="F7" s="576">
        <f t="shared" ref="F7:F35" ca="1" si="10">IF(AND(OR(R7="",MW&gt;=R7),OR(S7="",S7&gt;MW)),1,0)</f>
        <v>1</v>
      </c>
      <c r="G7" s="573">
        <v>1</v>
      </c>
      <c r="H7" s="61"/>
      <c r="I7" s="42"/>
      <c r="J7" s="61"/>
      <c r="K7" s="42"/>
      <c r="L7" s="42">
        <f ca="1">IF(OR(BRAND1=23,BRAND2=23,SI=16),1,0)</f>
        <v>0</v>
      </c>
      <c r="M7" s="42"/>
      <c r="N7" s="61">
        <f ca="1">IF(OR(BRAND1=23,BRAND2=23,SI=16),1,0)</f>
        <v>0</v>
      </c>
      <c r="O7" s="61"/>
      <c r="P7" s="37" t="s">
        <v>48</v>
      </c>
      <c r="Q7" s="16" t="s">
        <v>269</v>
      </c>
      <c r="R7" s="16"/>
      <c r="S7" s="16"/>
      <c r="T7" s="81"/>
      <c r="U7" s="81"/>
      <c r="V7" s="81"/>
      <c r="W7" s="81"/>
      <c r="X7" s="81"/>
      <c r="Y7" s="17"/>
      <c r="Z7" s="50"/>
      <c r="AA7" s="16"/>
      <c r="AB7" s="84"/>
      <c r="AC7" s="81"/>
      <c r="AD7" s="17"/>
      <c r="AE7" s="37" t="s">
        <v>48</v>
      </c>
      <c r="AF7" s="41" t="s">
        <v>39</v>
      </c>
      <c r="AG7" s="42" t="s">
        <v>73</v>
      </c>
      <c r="AH7" s="42" t="s">
        <v>70</v>
      </c>
      <c r="AI7" s="42" t="s">
        <v>70</v>
      </c>
      <c r="AJ7" s="43" t="s">
        <v>73</v>
      </c>
      <c r="AK7" s="43" t="s">
        <v>73</v>
      </c>
      <c r="AL7" s="43" t="s">
        <v>70</v>
      </c>
      <c r="AM7" s="55" t="s">
        <v>70</v>
      </c>
      <c r="AN7" s="58"/>
      <c r="AO7" s="65" t="s">
        <v>146</v>
      </c>
      <c r="AP7" s="18" t="s">
        <v>88</v>
      </c>
      <c r="AQ7" s="18" t="s">
        <v>147</v>
      </c>
      <c r="AR7" s="18" t="s">
        <v>148</v>
      </c>
      <c r="AS7" s="18" t="s">
        <v>149</v>
      </c>
      <c r="AT7" s="18" t="s">
        <v>89</v>
      </c>
      <c r="AU7" s="18" t="str">
        <f>CONCATENATE("§",AF7," kent geen keuringsverplichting")</f>
        <v>§4.4 kent geen keuringsverplichting</v>
      </c>
      <c r="AV7" s="17"/>
    </row>
    <row r="8" spans="1:48" x14ac:dyDescent="0.2">
      <c r="A8" s="299"/>
      <c r="B8" s="339">
        <f t="shared" ca="1" si="8"/>
        <v>0</v>
      </c>
      <c r="C8" s="249">
        <f t="shared" ca="1" si="9"/>
        <v>0</v>
      </c>
      <c r="D8" s="64"/>
      <c r="E8" s="45"/>
      <c r="F8" s="247">
        <f t="shared" ca="1" si="10"/>
        <v>1</v>
      </c>
      <c r="G8" s="64">
        <v>1</v>
      </c>
      <c r="H8" s="62"/>
      <c r="I8" s="45"/>
      <c r="J8" s="62"/>
      <c r="K8" s="45"/>
      <c r="L8" s="45">
        <f ca="1">IF(AND((100-ABRAND2)&gt;40,BRAND1=26),1,0)</f>
        <v>0</v>
      </c>
      <c r="M8" s="45"/>
      <c r="N8" s="62">
        <f ca="1">IF(AND(ABRAND2&gt;40,BRAND2=26),1,0)</f>
        <v>0</v>
      </c>
      <c r="O8" s="62"/>
      <c r="P8" s="38" t="str">
        <f>P7</f>
        <v>Afvalverbrandingsinstallatie</v>
      </c>
      <c r="Q8" s="23" t="s">
        <v>44</v>
      </c>
      <c r="R8" s="23"/>
      <c r="S8" s="23"/>
      <c r="T8" s="82"/>
      <c r="U8" s="82"/>
      <c r="V8" s="82"/>
      <c r="W8" s="82"/>
      <c r="X8" s="82"/>
      <c r="Y8" s="20"/>
      <c r="Z8" s="51"/>
      <c r="AA8" s="23"/>
      <c r="AB8" s="85"/>
      <c r="AC8" s="82"/>
      <c r="AD8" s="77"/>
      <c r="AE8" s="38" t="s">
        <v>67</v>
      </c>
      <c r="AF8" s="44" t="s">
        <v>39</v>
      </c>
      <c r="AG8" s="45" t="s">
        <v>73</v>
      </c>
      <c r="AH8" s="45" t="s">
        <v>70</v>
      </c>
      <c r="AI8" s="45" t="s">
        <v>70</v>
      </c>
      <c r="AJ8" s="46" t="s">
        <v>73</v>
      </c>
      <c r="AK8" s="46" t="s">
        <v>73</v>
      </c>
      <c r="AL8" s="46" t="s">
        <v>70</v>
      </c>
      <c r="AM8" s="56" t="s">
        <v>70</v>
      </c>
      <c r="AN8" s="59"/>
      <c r="AO8" s="66" t="str">
        <f>$AO$7</f>
        <v>de stookinstallatie is vergunningplichtig, zie art 3.88 of art 3.40e</v>
      </c>
      <c r="AP8" s="21" t="str">
        <f>AP7</f>
        <v>§4.4 kent geen samenstelregel</v>
      </c>
      <c r="AQ8" s="21" t="str">
        <f>$AQ$7</f>
        <v>alleen specifiek maatwerk mogelijk, zie art. 4.65</v>
      </c>
      <c r="AR8" s="21" t="str">
        <f t="shared" ref="AR8:AR11" si="11">$AR$7</f>
        <v>de luchtparagraaf is van kracht, zie art 3.89 of art 3.40f</v>
      </c>
      <c r="AS8" s="21" t="str">
        <f>AS7</f>
        <v>de ZZS-paragraaf is van kracht, zie art 3.89 of art 3.40f</v>
      </c>
      <c r="AT8" s="21" t="str">
        <f>AT7</f>
        <v>§4.4 kent geen 500-uursregeling</v>
      </c>
      <c r="AU8" s="21" t="str">
        <f>AU7</f>
        <v>§4.4 kent geen keuringsverplichting</v>
      </c>
      <c r="AV8" s="77"/>
    </row>
    <row r="9" spans="1:48" x14ac:dyDescent="0.2">
      <c r="A9" s="299"/>
      <c r="B9" s="339">
        <f t="shared" ca="1" si="8"/>
        <v>0</v>
      </c>
      <c r="C9" s="249">
        <f t="shared" ca="1" si="9"/>
        <v>0</v>
      </c>
      <c r="D9" s="64"/>
      <c r="E9" s="45"/>
      <c r="F9" s="247">
        <f t="shared" ca="1" si="10"/>
        <v>1</v>
      </c>
      <c r="G9" s="64">
        <v>1</v>
      </c>
      <c r="H9" s="45">
        <f ca="1">IF(Afvalvernietiging,1,0)</f>
        <v>0</v>
      </c>
      <c r="I9" s="62"/>
      <c r="J9" s="45"/>
      <c r="K9" s="64"/>
      <c r="L9" s="45">
        <f ca="1">IF(AND(BRAND1&lt;&gt;23,TBRAND1=3,OR(Doel=1,SI=17)),1,0)</f>
        <v>0</v>
      </c>
      <c r="M9" s="45"/>
      <c r="N9" s="62">
        <f ca="1">IF(AND(BRAND2&lt;&gt;23,TBRAND2=3,OR(Doel=1,SI=17)),1,0)</f>
        <v>0</v>
      </c>
      <c r="O9" s="62"/>
      <c r="P9" s="39" t="s">
        <v>49</v>
      </c>
      <c r="Q9" s="23" t="s">
        <v>45</v>
      </c>
      <c r="R9" s="23"/>
      <c r="S9" s="23"/>
      <c r="T9" s="82"/>
      <c r="U9" s="82"/>
      <c r="V9" s="82"/>
      <c r="W9" s="82"/>
      <c r="X9" s="82"/>
      <c r="Y9" s="20"/>
      <c r="Z9" s="51"/>
      <c r="AA9" s="23"/>
      <c r="AB9" s="85"/>
      <c r="AC9" s="82"/>
      <c r="AD9" s="77"/>
      <c r="AE9" s="38" t="s">
        <v>117</v>
      </c>
      <c r="AF9" s="44" t="s">
        <v>39</v>
      </c>
      <c r="AG9" s="45" t="s">
        <v>73</v>
      </c>
      <c r="AH9" s="45" t="s">
        <v>70</v>
      </c>
      <c r="AI9" s="45" t="s">
        <v>70</v>
      </c>
      <c r="AJ9" s="46" t="s">
        <v>73</v>
      </c>
      <c r="AK9" s="46" t="s">
        <v>73</v>
      </c>
      <c r="AL9" s="46" t="s">
        <v>70</v>
      </c>
      <c r="AM9" s="56" t="s">
        <v>70</v>
      </c>
      <c r="AN9" s="59"/>
      <c r="AO9" s="66" t="str">
        <f t="shared" ref="AO9:AO11" si="12">$AO$7</f>
        <v>de stookinstallatie is vergunningplichtig, zie art 3.88 of art 3.40e</v>
      </c>
      <c r="AP9" s="21" t="str">
        <f>AP8</f>
        <v>§4.4 kent geen samenstelregel</v>
      </c>
      <c r="AQ9" s="21" t="str">
        <f>AQ8</f>
        <v>alleen specifiek maatwerk mogelijk, zie art. 4.65</v>
      </c>
      <c r="AR9" s="21" t="str">
        <f t="shared" si="11"/>
        <v>de luchtparagraaf is van kracht, zie art 3.89 of art 3.40f</v>
      </c>
      <c r="AS9" s="21" t="str">
        <f t="shared" ref="AS9:AS11" si="13">AS8</f>
        <v>de ZZS-paragraaf is van kracht, zie art 3.89 of art 3.40f</v>
      </c>
      <c r="AT9" s="21" t="str">
        <f t="shared" ref="AT9:AU11" si="14">AT8</f>
        <v>§4.4 kent geen 500-uursregeling</v>
      </c>
      <c r="AU9" s="21" t="str">
        <f t="shared" si="14"/>
        <v>§4.4 kent geen keuringsverplichting</v>
      </c>
      <c r="AV9" s="20"/>
    </row>
    <row r="10" spans="1:48" x14ac:dyDescent="0.2">
      <c r="A10" s="299"/>
      <c r="B10" s="339">
        <f t="shared" ca="1" si="8"/>
        <v>0</v>
      </c>
      <c r="C10" s="249">
        <f t="shared" ca="1" si="9"/>
        <v>0</v>
      </c>
      <c r="D10" s="64"/>
      <c r="E10" s="45"/>
      <c r="F10" s="247">
        <f t="shared" ca="1" si="10"/>
        <v>1</v>
      </c>
      <c r="G10" s="64">
        <v>1</v>
      </c>
      <c r="H10" s="62">
        <f t="shared" ref="H10:H35" ca="1" si="15">IF(Afvalvernietiging,0,1)</f>
        <v>1</v>
      </c>
      <c r="I10" s="45"/>
      <c r="J10" s="62"/>
      <c r="K10" s="45"/>
      <c r="L10" s="45">
        <f ca="1">IF(AND(BRAND1&lt;&gt;23,BRAND2&lt;&gt;23,TBRAND1=3,AND(Doel=2,SI&lt;&gt;16,SI&lt;&gt;17)),1,0)</f>
        <v>0</v>
      </c>
      <c r="M10" s="45"/>
      <c r="N10" s="45">
        <f ca="1">IF(ABRAND2=0,0,IF(AND(BRAND1&lt;&gt;23,BRAND2&lt;&gt;23,TBRAND2=3,AND(Doel=2,SI&lt;&gt;17,SI&lt;&gt;16)),1,0))</f>
        <v>0</v>
      </c>
      <c r="O10" s="62"/>
      <c r="P10" s="39" t="str">
        <f>P9</f>
        <v>Afvalmeeverbrandingsinstallatie</v>
      </c>
      <c r="Q10" s="23" t="s">
        <v>46</v>
      </c>
      <c r="R10" s="23"/>
      <c r="S10" s="23"/>
      <c r="T10" s="82"/>
      <c r="U10" s="82"/>
      <c r="V10" s="82"/>
      <c r="W10" s="82"/>
      <c r="X10" s="82"/>
      <c r="Y10" s="20"/>
      <c r="Z10" s="51"/>
      <c r="AA10" s="23"/>
      <c r="AB10" s="85"/>
      <c r="AC10" s="82"/>
      <c r="AD10" s="77"/>
      <c r="AE10" s="38" t="s">
        <v>494</v>
      </c>
      <c r="AF10" s="44" t="s">
        <v>39</v>
      </c>
      <c r="AG10" s="45" t="s">
        <v>73</v>
      </c>
      <c r="AH10" s="45" t="s">
        <v>70</v>
      </c>
      <c r="AI10" s="45" t="s">
        <v>70</v>
      </c>
      <c r="AJ10" s="46" t="s">
        <v>73</v>
      </c>
      <c r="AK10" s="46" t="s">
        <v>73</v>
      </c>
      <c r="AL10" s="46" t="s">
        <v>70</v>
      </c>
      <c r="AM10" s="56" t="s">
        <v>70</v>
      </c>
      <c r="AN10" s="59"/>
      <c r="AO10" s="66" t="str">
        <f t="shared" si="12"/>
        <v>de stookinstallatie is vergunningplichtig, zie art 3.88 of art 3.40e</v>
      </c>
      <c r="AP10" s="21" t="str">
        <f>AP9</f>
        <v>§4.4 kent geen samenstelregel</v>
      </c>
      <c r="AQ10" s="21" t="str">
        <f>AQ9</f>
        <v>alleen specifiek maatwerk mogelijk, zie art. 4.65</v>
      </c>
      <c r="AR10" s="21" t="str">
        <f t="shared" si="11"/>
        <v>de luchtparagraaf is van kracht, zie art 3.89 of art 3.40f</v>
      </c>
      <c r="AS10" s="21" t="str">
        <f t="shared" si="13"/>
        <v>de ZZS-paragraaf is van kracht, zie art 3.89 of art 3.40f</v>
      </c>
      <c r="AT10" s="21" t="str">
        <f t="shared" si="14"/>
        <v>§4.4 kent geen 500-uursregeling</v>
      </c>
      <c r="AU10" s="21" t="str">
        <f t="shared" si="14"/>
        <v>§4.4 kent geen keuringsverplichting</v>
      </c>
      <c r="AV10" s="20"/>
    </row>
    <row r="11" spans="1:48" x14ac:dyDescent="0.2">
      <c r="A11" s="299"/>
      <c r="B11" s="339">
        <f t="shared" ref="B11" ca="1" si="16">IF(AND(SUM(D11:K11,L11:M11)=COUNT(D11:K11,L11:M11),COUNT(D11:K11,L11:M11)&gt;0),ROW(B11),0)</f>
        <v>0</v>
      </c>
      <c r="C11" s="249">
        <f t="shared" ref="C11" ca="1" si="17">IF(AND(SUM(D11:K11,N11:O11)=COUNT(D11:K11,N11:O11),COUNT(D11:K11,N11:O11)&gt;0),ROW(B11),0)</f>
        <v>0</v>
      </c>
      <c r="D11" s="64"/>
      <c r="E11" s="45"/>
      <c r="F11" s="247">
        <f t="shared" ref="F11" ca="1" si="18">IF(AND(OR(R11="",MW&gt;=R11),OR(S11="",S11&gt;MW)),1,0)</f>
        <v>1</v>
      </c>
      <c r="G11" s="64">
        <f ca="1">IF(SI=17,1,0)</f>
        <v>0</v>
      </c>
      <c r="H11" s="62"/>
      <c r="I11" s="45"/>
      <c r="J11" s="62"/>
      <c r="K11" s="45"/>
      <c r="L11" s="45">
        <f ca="1">IF(OR(BRAND1=23,BRAND2=23,SI=17),1,0)</f>
        <v>0</v>
      </c>
      <c r="M11" s="45"/>
      <c r="N11" s="62">
        <f ca="1">IF(OR(BRAND1=23,BRAND2=23,SI=17),1,0)</f>
        <v>0</v>
      </c>
      <c r="O11" s="62"/>
      <c r="P11" s="39" t="s">
        <v>493</v>
      </c>
      <c r="Q11" s="23" t="s">
        <v>46</v>
      </c>
      <c r="R11" s="23"/>
      <c r="S11" s="23"/>
      <c r="T11" s="82"/>
      <c r="U11" s="82"/>
      <c r="V11" s="82"/>
      <c r="W11" s="82"/>
      <c r="X11" s="82"/>
      <c r="Y11" s="20"/>
      <c r="Z11" s="51"/>
      <c r="AA11" s="23"/>
      <c r="AB11" s="85"/>
      <c r="AC11" s="82"/>
      <c r="AD11" s="77"/>
      <c r="AE11" s="38" t="str">
        <f ca="1">Data!R21</f>
        <v>Cementoven waarin afval wordt verbrand</v>
      </c>
      <c r="AF11" s="44" t="s">
        <v>39</v>
      </c>
      <c r="AG11" s="45" t="s">
        <v>73</v>
      </c>
      <c r="AH11" s="45" t="s">
        <v>70</v>
      </c>
      <c r="AI11" s="45" t="s">
        <v>70</v>
      </c>
      <c r="AJ11" s="46" t="s">
        <v>73</v>
      </c>
      <c r="AK11" s="46" t="s">
        <v>73</v>
      </c>
      <c r="AL11" s="46" t="s">
        <v>70</v>
      </c>
      <c r="AM11" s="56" t="s">
        <v>70</v>
      </c>
      <c r="AN11" s="59"/>
      <c r="AO11" s="66" t="str">
        <f t="shared" si="12"/>
        <v>de stookinstallatie is vergunningplichtig, zie art 3.88 of art 3.40e</v>
      </c>
      <c r="AP11" s="21" t="str">
        <f>AP10</f>
        <v>§4.4 kent geen samenstelregel</v>
      </c>
      <c r="AQ11" s="21" t="str">
        <f>AQ10</f>
        <v>alleen specifiek maatwerk mogelijk, zie art. 4.65</v>
      </c>
      <c r="AR11" s="21" t="str">
        <f t="shared" si="11"/>
        <v>de luchtparagraaf is van kracht, zie art 3.89 of art 3.40f</v>
      </c>
      <c r="AS11" s="21" t="str">
        <f t="shared" si="13"/>
        <v>de ZZS-paragraaf is van kracht, zie art 3.89 of art 3.40f</v>
      </c>
      <c r="AT11" s="21" t="str">
        <f t="shared" si="14"/>
        <v>§4.4 kent geen 500-uursregeling</v>
      </c>
      <c r="AU11" s="21" t="str">
        <f t="shared" si="14"/>
        <v>§4.4 kent geen keuringsverplichting</v>
      </c>
      <c r="AV11" s="20"/>
    </row>
    <row r="12" spans="1:48" x14ac:dyDescent="0.2">
      <c r="A12" s="299"/>
      <c r="B12" s="302"/>
      <c r="C12" s="342"/>
      <c r="D12" s="574"/>
      <c r="E12" s="303"/>
      <c r="F12" s="303"/>
      <c r="G12" s="574"/>
      <c r="H12" s="304"/>
      <c r="I12" s="303"/>
      <c r="J12" s="304"/>
      <c r="K12" s="303"/>
      <c r="L12" s="303"/>
      <c r="M12" s="303"/>
      <c r="N12" s="304"/>
      <c r="O12" s="304"/>
      <c r="P12" s="305"/>
      <c r="Q12" s="306"/>
      <c r="R12" s="306"/>
      <c r="S12" s="306"/>
      <c r="T12" s="307"/>
      <c r="U12" s="307"/>
      <c r="V12" s="307"/>
      <c r="W12" s="307"/>
      <c r="X12" s="307"/>
      <c r="Y12" s="308"/>
      <c r="Z12" s="309"/>
      <c r="AA12" s="306"/>
      <c r="AB12" s="310"/>
      <c r="AC12" s="307"/>
      <c r="AD12" s="311"/>
      <c r="AE12" s="312"/>
      <c r="AF12" s="283"/>
      <c r="AG12" s="303"/>
      <c r="AH12" s="303"/>
      <c r="AI12" s="303"/>
      <c r="AJ12" s="292"/>
      <c r="AK12" s="292"/>
      <c r="AL12" s="292"/>
      <c r="AM12" s="293"/>
      <c r="AN12" s="294"/>
      <c r="AO12" s="312"/>
      <c r="AP12" s="306"/>
      <c r="AQ12" s="306"/>
      <c r="AR12" s="306"/>
      <c r="AS12" s="306"/>
      <c r="AT12" s="306"/>
      <c r="AU12" s="306"/>
      <c r="AV12" s="308"/>
    </row>
    <row r="13" spans="1:48" x14ac:dyDescent="0.2">
      <c r="A13" s="299"/>
      <c r="B13" s="339">
        <f t="shared" ca="1" si="8"/>
        <v>0</v>
      </c>
      <c r="C13" s="249">
        <f t="shared" ca="1" si="9"/>
        <v>0</v>
      </c>
      <c r="D13" s="64"/>
      <c r="E13" s="45"/>
      <c r="F13" s="247">
        <f t="shared" ca="1" si="10"/>
        <v>0</v>
      </c>
      <c r="G13" s="64">
        <f ca="1">IF(TSI=3,1,0)</f>
        <v>0</v>
      </c>
      <c r="H13" s="62">
        <f t="shared" ca="1" si="15"/>
        <v>1</v>
      </c>
      <c r="I13" s="45"/>
      <c r="J13" s="62"/>
      <c r="K13" s="45"/>
      <c r="L13" s="45">
        <f ca="1">IF(TBRAND1&lt;3,1,0)</f>
        <v>1</v>
      </c>
      <c r="M13" s="45"/>
      <c r="N13" s="62">
        <f ca="1">IF(ABRAND2=0,0,IF(TBRAND2&lt;3,1,0))</f>
        <v>0</v>
      </c>
      <c r="O13" s="62"/>
      <c r="P13" s="38" t="s">
        <v>56</v>
      </c>
      <c r="Q13" s="23" t="s">
        <v>34</v>
      </c>
      <c r="R13" s="23">
        <v>50</v>
      </c>
      <c r="S13" s="23"/>
      <c r="T13" s="82"/>
      <c r="U13" s="82"/>
      <c r="V13" s="82"/>
      <c r="W13" s="82"/>
      <c r="X13" s="82"/>
      <c r="Y13" s="20"/>
      <c r="Z13" s="52"/>
      <c r="AA13" s="23"/>
      <c r="AB13" s="85"/>
      <c r="AC13" s="82"/>
      <c r="AD13" s="20"/>
      <c r="AE13" s="416" t="str">
        <f ca="1">CONCATENATE(TSItxt,TMW," stookinstallatie",IF(AND(TMW="grote",Offshore)," in de offshore","")," gestookt op ",IF(OR(ABRAND2=0,$B$5=$C$6),TBRAND1txt,IF($B$5&lt;$C$6,CONCATENATE(TBRAND1txt," en ",TBRAND2txt),CONCATENATE(TBRAND2txt," en ",TBRAND1txt)))," brandstof")</f>
        <v>Standaard middelgrote stookinstallatie gestookt op standaard brandstof</v>
      </c>
      <c r="AF13" s="44" t="s">
        <v>41</v>
      </c>
      <c r="AG13" s="45" t="s">
        <v>73</v>
      </c>
      <c r="AH13" s="45" t="s">
        <v>70</v>
      </c>
      <c r="AI13" s="45" t="s">
        <v>73</v>
      </c>
      <c r="AJ13" s="79" t="s">
        <v>71</v>
      </c>
      <c r="AK13" s="46" t="str">
        <f>IF(AG13="ja","ja","nee")</f>
        <v>ja</v>
      </c>
      <c r="AL13" s="46" t="s">
        <v>70</v>
      </c>
      <c r="AM13" s="56" t="s">
        <v>70</v>
      </c>
      <c r="AN13" s="59"/>
      <c r="AO13" s="67" t="s">
        <v>150</v>
      </c>
      <c r="AP13" s="24" t="str">
        <f>CONCATENATE("§",AF13," kent geen samenstelregel")</f>
        <v>§5.4.4 kent geen samenstelregel</v>
      </c>
      <c r="AQ13" s="24" t="s">
        <v>116</v>
      </c>
      <c r="AR13" s="80" t="s">
        <v>138</v>
      </c>
      <c r="AS13" s="24" t="s">
        <v>151</v>
      </c>
      <c r="AT13" s="24" t="s">
        <v>113</v>
      </c>
      <c r="AU13" s="24" t="str">
        <f>CONCATENATE("§",AF13," kent geen keuringsverplichting")</f>
        <v>§5.4.4 kent geen keuringsverplichting</v>
      </c>
      <c r="AV13" s="20"/>
    </row>
    <row r="14" spans="1:48" x14ac:dyDescent="0.2">
      <c r="A14" s="299"/>
      <c r="B14" s="339">
        <f t="shared" ca="1" si="8"/>
        <v>0</v>
      </c>
      <c r="C14" s="249">
        <f t="shared" ca="1" si="9"/>
        <v>0</v>
      </c>
      <c r="D14" s="64"/>
      <c r="E14" s="45"/>
      <c r="F14" s="247">
        <f t="shared" ca="1" si="10"/>
        <v>0</v>
      </c>
      <c r="G14" s="64">
        <f ca="1">IF(TSI=3,1,0)</f>
        <v>0</v>
      </c>
      <c r="H14" s="62">
        <f t="shared" ca="1" si="15"/>
        <v>1</v>
      </c>
      <c r="I14" s="45"/>
      <c r="J14" s="62"/>
      <c r="K14" s="45"/>
      <c r="L14" s="45">
        <f ca="1">IF(ABS(TBRAND1)=1,1,0)</f>
        <v>1</v>
      </c>
      <c r="M14" s="45"/>
      <c r="N14" s="62">
        <f ca="1">IF(ABRAND2=0,0,IF(ABS(TBRAND2)=1,1,0))</f>
        <v>0</v>
      </c>
      <c r="O14" s="62"/>
      <c r="P14" s="38" t="s">
        <v>65</v>
      </c>
      <c r="Q14" s="23" t="s">
        <v>31</v>
      </c>
      <c r="R14" s="23">
        <v>0.1</v>
      </c>
      <c r="S14" s="23">
        <v>1</v>
      </c>
      <c r="T14" s="82"/>
      <c r="U14" s="82"/>
      <c r="V14" s="82"/>
      <c r="W14" s="82"/>
      <c r="X14" s="82"/>
      <c r="Y14" s="20"/>
      <c r="Z14" s="51"/>
      <c r="AA14" s="23"/>
      <c r="AB14" s="85"/>
      <c r="AC14" s="82"/>
      <c r="AD14" s="77"/>
      <c r="AE14" s="38" t="str">
        <f ca="1">IF(AF14="","",$AE$13)</f>
        <v>Standaard middelgrote stookinstallatie gestookt op standaard brandstof</v>
      </c>
      <c r="AF14" s="44" t="s">
        <v>106</v>
      </c>
      <c r="AG14" s="45" t="str">
        <f>IF(Offshore,"ja","nee")</f>
        <v>nee</v>
      </c>
      <c r="AH14" s="45" t="s">
        <v>71</v>
      </c>
      <c r="AI14" s="45" t="s">
        <v>71</v>
      </c>
      <c r="AJ14" s="46" t="s">
        <v>70</v>
      </c>
      <c r="AK14" s="46" t="str">
        <f t="shared" ref="AK14:AK32" si="19">IF(AG14="ja","ja","nee")</f>
        <v>nee</v>
      </c>
      <c r="AL14" s="46" t="s">
        <v>71</v>
      </c>
      <c r="AM14" s="56" t="s">
        <v>73</v>
      </c>
      <c r="AN14" s="59"/>
      <c r="AO14" s="68" t="str">
        <f>IF(Offshore,"er is een mijnbouwvergunning nodig","tenzij installatie onderdeel is van grootschalige energieopwekking, zie art 3.55")</f>
        <v>tenzij installatie onderdeel is van grootschalige energieopwekking, zie art 3.55</v>
      </c>
      <c r="AP14" s="26" t="str">
        <f>CONCATENATE("§",AF14," stelt geen emissie-eisen aan dit type stookinstallaties en kent daarom ook geen samenstelregel voor deze installaties")</f>
        <v>§4.126 stelt geen emissie-eisen aan dit type stookinstallaties en kent daarom ook geen samenstelregel voor deze installaties</v>
      </c>
      <c r="AQ14" s="25" t="str">
        <f>CONCATENATE("§",AF14," geeft stelt geen emissie-eisen aan dit type stookinstallaties; eisen volgen eventueel uit de zorgplicht (BAL art 2.11)")</f>
        <v>§4.126 geeft stelt geen emissie-eisen aan dit type stookinstallaties; eisen volgen eventueel uit de zorgplicht (BAL art 2.11)</v>
      </c>
      <c r="AR14" s="25" t="str">
        <f>IF(Offshore," installatie is niet op grond van artikel 3.5 vergunnungplichtig, zie artikel 3.6","tenzij de stookinstallatie vergunningplichtig is, zie art 3.6")</f>
        <v>tenzij de stookinstallatie vergunningplichtig is, zie art 3.6</v>
      </c>
      <c r="AS14" s="25" t="str">
        <f>IF(Offshore," installatie is niet op grond van artikel 3.5 vergunnungplichtig, zie artikel 3.6","tenzij de stookinstallatie vergunningplichtig is, zie art 3.6")</f>
        <v>tenzij de stookinstallatie vergunningplichtig is, zie art 3.6</v>
      </c>
      <c r="AT14" s="26" t="s">
        <v>531</v>
      </c>
      <c r="AU14" s="829" t="str">
        <f ca="1">CONCATENATE("er geldt een ",IF(Tdatum&lt;IWTH2,IF(OR(FBRAND1&lt;&gt;"g",AND(ABRAND2&gt;0,FBRAND2&lt;&gt;"g")),"2-","4-"),IF(OR(BRAND1=2,AND(ABRAND2&gt;0,BRAND2=2)),"2-",IF(BT500uur,"4-",IF(OR(FBRAND1&lt;&gt;"g",AND(ABRAND2&gt;0,FBRAND2&lt;&gt;"g")),"2-","4-")))),"jaarlijkse keuringsverplichting, zie art. 4.1326")</f>
        <v>er geldt een 4-jaarlijkse keuringsverplichting, zie art. 4.1326</v>
      </c>
      <c r="AV14" s="20"/>
    </row>
    <row r="15" spans="1:48" x14ac:dyDescent="0.2">
      <c r="A15" s="299"/>
      <c r="B15" s="339">
        <f t="shared" ca="1" si="8"/>
        <v>0</v>
      </c>
      <c r="C15" s="249">
        <f t="shared" ca="1" si="9"/>
        <v>0</v>
      </c>
      <c r="D15" s="64"/>
      <c r="E15" s="45"/>
      <c r="F15" s="247">
        <f t="shared" ca="1" si="10"/>
        <v>1</v>
      </c>
      <c r="G15" s="64">
        <f ca="1">IF(TSI=3,1,0)</f>
        <v>0</v>
      </c>
      <c r="H15" s="62">
        <f t="shared" ca="1" si="15"/>
        <v>1</v>
      </c>
      <c r="I15" s="45"/>
      <c r="J15" s="62"/>
      <c r="K15" s="45"/>
      <c r="L15" s="45">
        <f ca="1">IF(ABS(TBRAND1)=1,1,0)</f>
        <v>1</v>
      </c>
      <c r="M15" s="45"/>
      <c r="N15" s="62">
        <f ca="1">IF(ABRAND2=0,0,IF(ABS(TBRAND2)=1,1,0))</f>
        <v>0</v>
      </c>
      <c r="O15" s="62"/>
      <c r="P15" s="38" t="s">
        <v>55</v>
      </c>
      <c r="Q15" s="23" t="s">
        <v>31</v>
      </c>
      <c r="R15" s="23">
        <v>1</v>
      </c>
      <c r="S15" s="23">
        <v>50</v>
      </c>
      <c r="T15" s="82"/>
      <c r="U15" s="82"/>
      <c r="V15" s="82"/>
      <c r="W15" s="82"/>
      <c r="X15" s="82"/>
      <c r="Y15" s="20"/>
      <c r="Z15" s="51"/>
      <c r="AA15" s="23"/>
      <c r="AB15" s="85"/>
      <c r="AC15" s="82"/>
      <c r="AD15" s="77"/>
      <c r="AE15" s="38" t="str">
        <f t="shared" ref="AE15:AE38" ca="1" si="20">IF(AF15="","",$AE$13)</f>
        <v>Standaard middelgrote stookinstallatie gestookt op standaard brandstof</v>
      </c>
      <c r="AF15" s="44" t="str">
        <f>AF14</f>
        <v>4.126</v>
      </c>
      <c r="AG15" s="45" t="str">
        <f>IF(Offshore,"ja","nee")</f>
        <v>nee</v>
      </c>
      <c r="AH15" s="45" t="s">
        <v>71</v>
      </c>
      <c r="AI15" s="45" t="s">
        <v>71</v>
      </c>
      <c r="AJ15" s="46" t="s">
        <v>70</v>
      </c>
      <c r="AK15" s="46" t="str">
        <f t="shared" si="19"/>
        <v>nee</v>
      </c>
      <c r="AL15" s="46" t="s">
        <v>71</v>
      </c>
      <c r="AM15" s="56" t="s">
        <v>73</v>
      </c>
      <c r="AN15" s="59"/>
      <c r="AO15" s="69" t="str">
        <f>$AO$14</f>
        <v>tenzij installatie onderdeel is van grootschalige energieopwekking, zie art 3.55</v>
      </c>
      <c r="AP15" s="27" t="str">
        <f t="shared" ref="AP15:AU15" si="21">AP14</f>
        <v>§4.126 stelt geen emissie-eisen aan dit type stookinstallaties en kent daarom ook geen samenstelregel voor deze installaties</v>
      </c>
      <c r="AQ15" s="27" t="str">
        <f t="shared" si="21"/>
        <v>§4.126 geeft stelt geen emissie-eisen aan dit type stookinstallaties; eisen volgen eventueel uit de zorgplicht (BAL art 2.11)</v>
      </c>
      <c r="AR15" s="70" t="str">
        <f t="shared" si="21"/>
        <v>tenzij de stookinstallatie vergunningplichtig is, zie art 3.6</v>
      </c>
      <c r="AS15" s="70" t="str">
        <f t="shared" si="21"/>
        <v>tenzij de stookinstallatie vergunningplichtig is, zie art 3.6</v>
      </c>
      <c r="AT15" s="27" t="str">
        <f t="shared" si="21"/>
        <v>§4.126 geeft geen emissie-eisen voor dit type stookinstallaties</v>
      </c>
      <c r="AU15" s="27" t="str">
        <f t="shared" ca="1" si="21"/>
        <v>er geldt een 4-jaarlijkse keuringsverplichting, zie art. 4.1326</v>
      </c>
      <c r="AV15" s="20"/>
    </row>
    <row r="16" spans="1:48" x14ac:dyDescent="0.2">
      <c r="A16" s="299"/>
      <c r="B16" s="339">
        <f t="shared" ca="1" si="8"/>
        <v>0</v>
      </c>
      <c r="C16" s="249">
        <f t="shared" ca="1" si="9"/>
        <v>0</v>
      </c>
      <c r="D16" s="64"/>
      <c r="E16" s="45"/>
      <c r="F16" s="247">
        <f t="shared" ca="1" si="10"/>
        <v>0</v>
      </c>
      <c r="G16" s="64">
        <v>1</v>
      </c>
      <c r="H16" s="62">
        <f t="shared" ca="1" si="15"/>
        <v>1</v>
      </c>
      <c r="I16" s="45"/>
      <c r="J16" s="62"/>
      <c r="K16" s="45"/>
      <c r="L16" s="45">
        <f ca="1">IF(TBRAND1=2,1,0)</f>
        <v>0</v>
      </c>
      <c r="M16" s="45"/>
      <c r="N16" s="62">
        <f ca="1">IF(ABRAND2=0,0,IF(TBRAND2=2,1,0))</f>
        <v>0</v>
      </c>
      <c r="O16" s="62"/>
      <c r="P16" s="38" t="s">
        <v>272</v>
      </c>
      <c r="Q16" s="23" t="s">
        <v>33</v>
      </c>
      <c r="R16" s="23">
        <v>0.1</v>
      </c>
      <c r="S16" s="23">
        <v>1</v>
      </c>
      <c r="T16" s="82"/>
      <c r="U16" s="82"/>
      <c r="V16" s="82"/>
      <c r="W16" s="82"/>
      <c r="X16" s="82"/>
      <c r="Y16" s="20"/>
      <c r="Z16" s="51"/>
      <c r="AA16" s="23"/>
      <c r="AB16" s="85"/>
      <c r="AC16" s="82"/>
      <c r="AD16" s="77"/>
      <c r="AE16" s="38" t="str">
        <f t="shared" ca="1" si="20"/>
        <v>Standaard middelgrote stookinstallatie gestookt op standaard brandstof</v>
      </c>
      <c r="AF16" s="44" t="s">
        <v>41</v>
      </c>
      <c r="AG16" s="45" t="s">
        <v>73</v>
      </c>
      <c r="AH16" s="45" t="s">
        <v>70</v>
      </c>
      <c r="AI16" s="45" t="s">
        <v>73</v>
      </c>
      <c r="AJ16" s="79" t="s">
        <v>71</v>
      </c>
      <c r="AK16" s="46" t="str">
        <f t="shared" si="19"/>
        <v>ja</v>
      </c>
      <c r="AL16" s="46" t="s">
        <v>70</v>
      </c>
      <c r="AM16" s="56" t="s">
        <v>70</v>
      </c>
      <c r="AN16" s="59"/>
      <c r="AO16" s="73" t="str">
        <f>$AO$23</f>
        <v>de stookinstallatie is op grond van de brandstof vergunningplichtig, zie art 3.5</v>
      </c>
      <c r="AP16" s="28" t="str">
        <f>AP13</f>
        <v>§5.4.4 kent geen samenstelregel</v>
      </c>
      <c r="AQ16" s="28" t="str">
        <f>AQ13</f>
        <v>maatwerk moet wel BBT zijn</v>
      </c>
      <c r="AR16" s="28" t="str">
        <f>AR13</f>
        <v>stookinstallatie valt al onder de luchtparagraaf (§5.4.4)</v>
      </c>
      <c r="AS16" s="70" t="str">
        <f>AS15</f>
        <v>tenzij de stookinstallatie vergunningplichtig is, zie art 3.6</v>
      </c>
      <c r="AT16" s="28" t="str">
        <f>AT13</f>
        <v>§5.4.4 kent geen 500-uursregeling, maar wel een ondergrens in de jaarvracht (zie art. 5.30 2e lid)</v>
      </c>
      <c r="AU16" s="28" t="str">
        <f>AU13</f>
        <v>§5.4.4 kent geen keuringsverplichting</v>
      </c>
      <c r="AV16" s="20"/>
    </row>
    <row r="17" spans="1:48" x14ac:dyDescent="0.2">
      <c r="A17" s="299"/>
      <c r="B17" s="339">
        <f t="shared" ca="1" si="8"/>
        <v>0</v>
      </c>
      <c r="C17" s="249">
        <f t="shared" ca="1" si="9"/>
        <v>0</v>
      </c>
      <c r="D17" s="64"/>
      <c r="E17" s="45"/>
      <c r="F17" s="247">
        <f t="shared" ca="1" si="10"/>
        <v>1</v>
      </c>
      <c r="G17" s="64">
        <f ca="1">IF(TSI=3,1,0)</f>
        <v>0</v>
      </c>
      <c r="H17" s="62">
        <f t="shared" ca="1" si="15"/>
        <v>1</v>
      </c>
      <c r="I17" s="45"/>
      <c r="J17" s="62"/>
      <c r="K17" s="45"/>
      <c r="L17" s="45">
        <f ca="1">IF(TBRAND1=2,1,0)</f>
        <v>0</v>
      </c>
      <c r="M17" s="45"/>
      <c r="N17" s="62">
        <f ca="1">IF(ABRAND2=0,0,IF(TBRAND2=2,1,0))</f>
        <v>0</v>
      </c>
      <c r="O17" s="62"/>
      <c r="P17" s="38" t="s">
        <v>55</v>
      </c>
      <c r="Q17" s="23" t="s">
        <v>33</v>
      </c>
      <c r="R17" s="23">
        <v>1</v>
      </c>
      <c r="S17" s="23">
        <v>50</v>
      </c>
      <c r="T17" s="82"/>
      <c r="U17" s="82"/>
      <c r="V17" s="82"/>
      <c r="W17" s="82"/>
      <c r="X17" s="82"/>
      <c r="Y17" s="20"/>
      <c r="Z17" s="51"/>
      <c r="AA17" s="23"/>
      <c r="AB17" s="85"/>
      <c r="AC17" s="82"/>
      <c r="AD17" s="77"/>
      <c r="AE17" s="38" t="str">
        <f t="shared" ca="1" si="20"/>
        <v>Standaard middelgrote stookinstallatie gestookt op standaard brandstof</v>
      </c>
      <c r="AF17" s="44" t="s">
        <v>41</v>
      </c>
      <c r="AG17" s="45" t="s">
        <v>73</v>
      </c>
      <c r="AH17" s="45" t="s">
        <v>70</v>
      </c>
      <c r="AI17" s="45" t="s">
        <v>73</v>
      </c>
      <c r="AJ17" s="79" t="s">
        <v>71</v>
      </c>
      <c r="AK17" s="46" t="str">
        <f t="shared" si="19"/>
        <v>ja</v>
      </c>
      <c r="AL17" s="46" t="s">
        <v>70</v>
      </c>
      <c r="AM17" s="56" t="s">
        <v>70</v>
      </c>
      <c r="AN17" s="59"/>
      <c r="AO17" s="73" t="str">
        <f>$AO$23</f>
        <v>de stookinstallatie is op grond van de brandstof vergunningplichtig, zie art 3.5</v>
      </c>
      <c r="AP17" s="28" t="str">
        <f>AP13</f>
        <v>§5.4.4 kent geen samenstelregel</v>
      </c>
      <c r="AQ17" s="28" t="str">
        <f>AQ13</f>
        <v>maatwerk moet wel BBT zijn</v>
      </c>
      <c r="AR17" s="28" t="str">
        <f>AR16</f>
        <v>stookinstallatie valt al onder de luchtparagraaf (§5.4.4)</v>
      </c>
      <c r="AS17" s="70" t="str">
        <f>AS16</f>
        <v>tenzij de stookinstallatie vergunningplichtig is, zie art 3.6</v>
      </c>
      <c r="AT17" s="28" t="str">
        <f>AT13</f>
        <v>§5.4.4 kent geen 500-uursregeling, maar wel een ondergrens in de jaarvracht (zie art. 5.30 2e lid)</v>
      </c>
      <c r="AU17" s="28" t="str">
        <f>AU13</f>
        <v>§5.4.4 kent geen keuringsverplichting</v>
      </c>
      <c r="AV17" s="20"/>
    </row>
    <row r="18" spans="1:48" x14ac:dyDescent="0.2">
      <c r="A18" s="299"/>
      <c r="B18" s="302"/>
      <c r="C18" s="342"/>
      <c r="D18" s="574"/>
      <c r="E18" s="303"/>
      <c r="F18" s="303"/>
      <c r="G18" s="574"/>
      <c r="H18" s="304"/>
      <c r="I18" s="303"/>
      <c r="J18" s="304"/>
      <c r="K18" s="303"/>
      <c r="L18" s="303"/>
      <c r="M18" s="303"/>
      <c r="N18" s="304"/>
      <c r="O18" s="304"/>
      <c r="P18" s="305"/>
      <c r="Q18" s="306"/>
      <c r="R18" s="306"/>
      <c r="S18" s="306"/>
      <c r="T18" s="307"/>
      <c r="U18" s="307"/>
      <c r="V18" s="307"/>
      <c r="W18" s="307"/>
      <c r="X18" s="307"/>
      <c r="Y18" s="308"/>
      <c r="Z18" s="309"/>
      <c r="AA18" s="306"/>
      <c r="AB18" s="310"/>
      <c r="AC18" s="307"/>
      <c r="AD18" s="311"/>
      <c r="AE18" s="312" t="str">
        <f t="shared" si="20"/>
        <v/>
      </c>
      <c r="AF18" s="283"/>
      <c r="AG18" s="303"/>
      <c r="AH18" s="303"/>
      <c r="AI18" s="303"/>
      <c r="AJ18" s="292"/>
      <c r="AK18" s="292"/>
      <c r="AL18" s="292"/>
      <c r="AM18" s="293"/>
      <c r="AN18" s="294"/>
      <c r="AO18" s="312"/>
      <c r="AP18" s="306"/>
      <c r="AQ18" s="306"/>
      <c r="AR18" s="306"/>
      <c r="AS18" s="306"/>
      <c r="AT18" s="306"/>
      <c r="AU18" s="306"/>
      <c r="AV18" s="308"/>
    </row>
    <row r="19" spans="1:48" x14ac:dyDescent="0.2">
      <c r="A19" s="299"/>
      <c r="B19" s="339">
        <f t="shared" ca="1" si="8"/>
        <v>0</v>
      </c>
      <c r="C19" s="249">
        <f t="shared" ca="1" si="9"/>
        <v>0</v>
      </c>
      <c r="D19" s="64"/>
      <c r="E19" s="45"/>
      <c r="F19" s="247">
        <f t="shared" ca="1" si="10"/>
        <v>0</v>
      </c>
      <c r="G19" s="64">
        <f ca="1">IF(TSI=-1,1,0)</f>
        <v>0</v>
      </c>
      <c r="H19" s="62">
        <f t="shared" ca="1" si="15"/>
        <v>1</v>
      </c>
      <c r="I19" s="45">
        <f>IF(Offshore,0,1)</f>
        <v>1</v>
      </c>
      <c r="J19" s="62"/>
      <c r="K19" s="45"/>
      <c r="L19" s="45">
        <f ca="1">IF(TBRAND1&lt;3,1,0)</f>
        <v>1</v>
      </c>
      <c r="M19" s="45"/>
      <c r="N19" s="62">
        <f ca="1">IF(ABRAND2=0,0,IF(TBRAND2&lt;3,1,0))</f>
        <v>0</v>
      </c>
      <c r="O19" s="62"/>
      <c r="P19" s="38" t="s">
        <v>77</v>
      </c>
      <c r="Q19" s="23" t="s">
        <v>34</v>
      </c>
      <c r="R19" s="23">
        <v>50</v>
      </c>
      <c r="S19" s="23"/>
      <c r="T19" s="82"/>
      <c r="U19" s="82"/>
      <c r="V19" s="82"/>
      <c r="W19" s="82"/>
      <c r="X19" s="82"/>
      <c r="Y19" s="20"/>
      <c r="Z19" s="51"/>
      <c r="AA19" s="19"/>
      <c r="AB19" s="85"/>
      <c r="AC19" s="82"/>
      <c r="AD19" s="77"/>
      <c r="AE19" s="38" t="str">
        <f t="shared" ca="1" si="20"/>
        <v>Standaard middelgrote stookinstallatie gestookt op standaard brandstof</v>
      </c>
      <c r="AF19" s="44" t="s">
        <v>40</v>
      </c>
      <c r="AG19" s="45" t="s">
        <v>73</v>
      </c>
      <c r="AH19" s="45" t="str">
        <f ca="1">IF(MW&gt;=15,"ja", "nee")</f>
        <v>nee</v>
      </c>
      <c r="AI19" s="45" t="s">
        <v>70</v>
      </c>
      <c r="AJ19" s="46" t="s">
        <v>73</v>
      </c>
      <c r="AK19" s="46" t="str">
        <f t="shared" si="19"/>
        <v>ja</v>
      </c>
      <c r="AL19" s="46" t="str">
        <f>IF(Uren=1,"ja","nee")</f>
        <v>nee</v>
      </c>
      <c r="AM19" s="56" t="s">
        <v>70</v>
      </c>
      <c r="AN19" s="59"/>
      <c r="AO19" s="71" t="str">
        <f>$AO$13</f>
        <v>de stookinstallatie is vergunningplichtig, zie art 3.55</v>
      </c>
      <c r="AP19" s="29" t="s">
        <v>152</v>
      </c>
      <c r="AQ19" s="29" t="s">
        <v>153</v>
      </c>
      <c r="AR19" s="75" t="s">
        <v>154</v>
      </c>
      <c r="AS19" s="28" t="str">
        <f>AS13</f>
        <v>de ZZS-paragraaf is van kracht, zie art 3.56</v>
      </c>
      <c r="AT19" s="22" t="str">
        <f>CONCATENATE(IF(Uren&gt;2,"de 500-uursregeling geldt niet door de opgegeven bedrijfstijd",IF(AL19="nee","de 500-uursregeling geldt niet, omdat het geen noodvoorziening is","de opgegeven emissie-eisen zijn niet van toepassing"))," (zie art. 4.54)")</f>
        <v>de 500-uursregeling geldt niet door de opgegeven bedrijfstijd (zie art. 4.54)</v>
      </c>
      <c r="AU19" s="29" t="str">
        <f>CONCATENATE("§",AF19," kent geen keuringsverplichting")</f>
        <v>§4.3 kent geen keuringsverplichting</v>
      </c>
      <c r="AV19" s="77"/>
    </row>
    <row r="20" spans="1:48" x14ac:dyDescent="0.2">
      <c r="A20" s="299"/>
      <c r="B20" s="339">
        <f t="shared" ca="1" si="8"/>
        <v>0</v>
      </c>
      <c r="C20" s="249">
        <f t="shared" ca="1" si="9"/>
        <v>0</v>
      </c>
      <c r="D20" s="64"/>
      <c r="E20" s="45"/>
      <c r="F20" s="247">
        <f t="shared" ca="1" si="10"/>
        <v>0</v>
      </c>
      <c r="G20" s="64">
        <f ca="1">IF(TSI=1,1,0)</f>
        <v>1</v>
      </c>
      <c r="H20" s="62">
        <f t="shared" ca="1" si="15"/>
        <v>1</v>
      </c>
      <c r="I20" s="45">
        <f>IF(Offshore,0,1)</f>
        <v>1</v>
      </c>
      <c r="J20" s="62"/>
      <c r="K20" s="45"/>
      <c r="L20" s="45">
        <f ca="1">IF(TBRAND1&lt;3,1,0)</f>
        <v>1</v>
      </c>
      <c r="M20" s="45"/>
      <c r="N20" s="62">
        <f ca="1">IF(ABRAND2=0,0,IF(TBRAND2&lt;3,1,0))</f>
        <v>0</v>
      </c>
      <c r="O20" s="62"/>
      <c r="P20" s="38" t="s">
        <v>109</v>
      </c>
      <c r="Q20" s="23" t="s">
        <v>34</v>
      </c>
      <c r="R20" s="23">
        <v>50</v>
      </c>
      <c r="S20" s="23"/>
      <c r="T20" s="82"/>
      <c r="U20" s="82"/>
      <c r="V20" s="82"/>
      <c r="W20" s="82"/>
      <c r="X20" s="82"/>
      <c r="Y20" s="20"/>
      <c r="Z20" s="51"/>
      <c r="AA20" s="19"/>
      <c r="AB20" s="85"/>
      <c r="AC20" s="82"/>
      <c r="AD20" s="77"/>
      <c r="AE20" s="38" t="str">
        <f t="shared" ca="1" si="20"/>
        <v>Standaard middelgrote stookinstallatie gestookt op standaard brandstof</v>
      </c>
      <c r="AF20" s="44" t="s">
        <v>40</v>
      </c>
      <c r="AG20" s="45" t="s">
        <v>73</v>
      </c>
      <c r="AH20" s="45" t="str">
        <f ca="1">IF(MW&gt;=15,"ja", "nee")</f>
        <v>nee</v>
      </c>
      <c r="AI20" s="45" t="s">
        <v>70</v>
      </c>
      <c r="AJ20" s="46" t="s">
        <v>73</v>
      </c>
      <c r="AK20" s="46" t="str">
        <f t="shared" si="19"/>
        <v>ja</v>
      </c>
      <c r="AL20" s="46" t="s">
        <v>70</v>
      </c>
      <c r="AM20" s="56" t="s">
        <v>70</v>
      </c>
      <c r="AN20" s="59"/>
      <c r="AO20" s="71" t="str">
        <f t="shared" ref="AO20:AO21" si="22">$AO$13</f>
        <v>de stookinstallatie is vergunningplichtig, zie art 3.55</v>
      </c>
      <c r="AP20" s="30" t="str">
        <f>AP19</f>
        <v>installatie is mogelijk een samenstel van stookinstallaties; er geldt een samenstelregel vanaf 15 MWth, zie art. 4.29 2e lid</v>
      </c>
      <c r="AQ20" s="30" t="str">
        <f>AQ19</f>
        <v>alleen specifiek maatwerk mogelijk, zie art. 4.31</v>
      </c>
      <c r="AR20" s="76" t="str">
        <f>AR19</f>
        <v>de luchtparagraaf is van kracht, zie art 3.56</v>
      </c>
      <c r="AS20" s="28" t="str">
        <f>AS19</f>
        <v>de ZZS-paragraaf is van kracht, zie art 3.56</v>
      </c>
      <c r="AT20" s="29" t="str">
        <f>CONCATENATE("de 500-uursregeling geldt niet voor dit type stookinstallaties (zie art. 4.54)")</f>
        <v>de 500-uursregeling geldt niet voor dit type stookinstallaties (zie art. 4.54)</v>
      </c>
      <c r="AU20" s="30" t="str">
        <f>AU19</f>
        <v>§4.3 kent geen keuringsverplichting</v>
      </c>
      <c r="AV20" s="77"/>
    </row>
    <row r="21" spans="1:48" x14ac:dyDescent="0.2">
      <c r="A21" s="299"/>
      <c r="B21" s="339">
        <f t="shared" ca="1" si="8"/>
        <v>0</v>
      </c>
      <c r="C21" s="249">
        <f t="shared" ca="1" si="9"/>
        <v>0</v>
      </c>
      <c r="D21" s="64"/>
      <c r="E21" s="45"/>
      <c r="F21" s="247">
        <f t="shared" ca="1" si="10"/>
        <v>0</v>
      </c>
      <c r="G21" s="64">
        <f ca="1">IF(TSI=2,1,0)</f>
        <v>0</v>
      </c>
      <c r="H21" s="62">
        <f t="shared" ca="1" si="15"/>
        <v>1</v>
      </c>
      <c r="I21" s="45">
        <f>IF(Offshore,0,1)</f>
        <v>1</v>
      </c>
      <c r="J21" s="62"/>
      <c r="K21" s="45"/>
      <c r="L21" s="45">
        <f ca="1">IF(TBRAND1&lt;3,1,0)</f>
        <v>1</v>
      </c>
      <c r="M21" s="45"/>
      <c r="N21" s="62">
        <f ca="1">IF(ABRAND2=0,0,IF(TBRAND2&lt;3,1,0))</f>
        <v>0</v>
      </c>
      <c r="O21" s="62"/>
      <c r="P21" s="38" t="s">
        <v>110</v>
      </c>
      <c r="Q21" s="23" t="s">
        <v>34</v>
      </c>
      <c r="R21" s="23">
        <v>50</v>
      </c>
      <c r="S21" s="23"/>
      <c r="T21" s="82"/>
      <c r="U21" s="82"/>
      <c r="V21" s="82"/>
      <c r="W21" s="82"/>
      <c r="X21" s="82"/>
      <c r="Y21" s="20"/>
      <c r="Z21" s="51"/>
      <c r="AA21" s="19"/>
      <c r="AB21" s="85"/>
      <c r="AC21" s="82"/>
      <c r="AD21" s="77"/>
      <c r="AE21" s="38" t="str">
        <f t="shared" ca="1" si="20"/>
        <v>Standaard middelgrote stookinstallatie gestookt op standaard brandstof</v>
      </c>
      <c r="AF21" s="44" t="s">
        <v>40</v>
      </c>
      <c r="AG21" s="45" t="s">
        <v>73</v>
      </c>
      <c r="AH21" s="45" t="str">
        <f ca="1">IF(MW&gt;=15,"ja", "nee")</f>
        <v>nee</v>
      </c>
      <c r="AI21" s="45" t="s">
        <v>70</v>
      </c>
      <c r="AJ21" s="46" t="s">
        <v>73</v>
      </c>
      <c r="AK21" s="46" t="str">
        <f t="shared" si="19"/>
        <v>ja</v>
      </c>
      <c r="AL21" s="46" t="str">
        <f>AL20</f>
        <v>nee</v>
      </c>
      <c r="AM21" s="56" t="s">
        <v>70</v>
      </c>
      <c r="AN21" s="59"/>
      <c r="AO21" s="71" t="str">
        <f t="shared" si="22"/>
        <v>de stookinstallatie is vergunningplichtig, zie art 3.55</v>
      </c>
      <c r="AP21" s="30" t="str">
        <f>AP19</f>
        <v>installatie is mogelijk een samenstel van stookinstallaties; er geldt een samenstelregel vanaf 15 MWth, zie art. 4.29 2e lid</v>
      </c>
      <c r="AQ21" s="30" t="str">
        <f>AQ19</f>
        <v>alleen specifiek maatwerk mogelijk, zie art. 4.31</v>
      </c>
      <c r="AR21" s="76" t="str">
        <f>AR19</f>
        <v>de luchtparagraaf is van kracht, zie art 3.56</v>
      </c>
      <c r="AS21" s="28" t="str">
        <f>AS20</f>
        <v>de ZZS-paragraaf is van kracht, zie art 3.56</v>
      </c>
      <c r="AT21" s="30" t="str">
        <f>AT20</f>
        <v>de 500-uursregeling geldt niet voor dit type stookinstallaties (zie art. 4.54)</v>
      </c>
      <c r="AU21" s="30" t="str">
        <f>AU20</f>
        <v>§4.3 kent geen keuringsverplichting</v>
      </c>
      <c r="AV21" s="77"/>
    </row>
    <row r="22" spans="1:48" x14ac:dyDescent="0.2">
      <c r="A22" s="299"/>
      <c r="B22" s="302"/>
      <c r="C22" s="342"/>
      <c r="D22" s="574"/>
      <c r="E22" s="303"/>
      <c r="F22" s="303"/>
      <c r="G22" s="574"/>
      <c r="H22" s="304"/>
      <c r="I22" s="303"/>
      <c r="J22" s="304"/>
      <c r="K22" s="303"/>
      <c r="L22" s="303"/>
      <c r="M22" s="303"/>
      <c r="N22" s="304"/>
      <c r="O22" s="304"/>
      <c r="P22" s="305"/>
      <c r="Q22" s="306"/>
      <c r="R22" s="306"/>
      <c r="S22" s="306"/>
      <c r="T22" s="307"/>
      <c r="U22" s="307"/>
      <c r="V22" s="307"/>
      <c r="W22" s="307"/>
      <c r="X22" s="307"/>
      <c r="Y22" s="308"/>
      <c r="Z22" s="309"/>
      <c r="AA22" s="306"/>
      <c r="AB22" s="310"/>
      <c r="AC22" s="307"/>
      <c r="AD22" s="311"/>
      <c r="AE22" s="312" t="str">
        <f t="shared" si="20"/>
        <v/>
      </c>
      <c r="AF22" s="283"/>
      <c r="AG22" s="303"/>
      <c r="AH22" s="303"/>
      <c r="AI22" s="303"/>
      <c r="AJ22" s="292"/>
      <c r="AK22" s="292"/>
      <c r="AL22" s="292"/>
      <c r="AM22" s="293"/>
      <c r="AN22" s="294"/>
      <c r="AO22" s="312"/>
      <c r="AP22" s="306"/>
      <c r="AQ22" s="306"/>
      <c r="AR22" s="306"/>
      <c r="AS22" s="306"/>
      <c r="AT22" s="306"/>
      <c r="AU22" s="306"/>
      <c r="AV22" s="308"/>
    </row>
    <row r="23" spans="1:48" x14ac:dyDescent="0.2">
      <c r="A23" s="299"/>
      <c r="B23" s="339">
        <f t="shared" ca="1" si="8"/>
        <v>0</v>
      </c>
      <c r="C23" s="249">
        <f t="shared" ca="1" si="9"/>
        <v>0</v>
      </c>
      <c r="D23" s="64"/>
      <c r="E23" s="45"/>
      <c r="F23" s="247">
        <f t="shared" ca="1" si="10"/>
        <v>1</v>
      </c>
      <c r="G23" s="64">
        <f ca="1">IF(SI=5,1,0)</f>
        <v>0</v>
      </c>
      <c r="H23" s="62">
        <f t="shared" ca="1" si="15"/>
        <v>1</v>
      </c>
      <c r="I23" s="45"/>
      <c r="J23" s="62"/>
      <c r="K23" s="45"/>
      <c r="L23" s="45">
        <f ca="1">IF(TBRAND1=2,1,0)</f>
        <v>0</v>
      </c>
      <c r="M23" s="45"/>
      <c r="N23" s="62">
        <f ca="1">IF(ABRAND2=0,0,IF(TBRAND2=2,1,0))</f>
        <v>0</v>
      </c>
      <c r="O23" s="62"/>
      <c r="P23" s="39" t="s">
        <v>57</v>
      </c>
      <c r="Q23" s="23" t="s">
        <v>33</v>
      </c>
      <c r="R23" s="23">
        <v>1</v>
      </c>
      <c r="S23" s="23">
        <v>50</v>
      </c>
      <c r="T23" s="82"/>
      <c r="U23" s="82"/>
      <c r="V23" s="82"/>
      <c r="W23" s="82"/>
      <c r="X23" s="82"/>
      <c r="Y23" s="20"/>
      <c r="Z23" s="51"/>
      <c r="AA23" s="23"/>
      <c r="AB23" s="85"/>
      <c r="AC23" s="82"/>
      <c r="AD23" s="77"/>
      <c r="AE23" s="38" t="str">
        <f t="shared" ca="1" si="20"/>
        <v>Standaard middelgrote stookinstallatie gestookt op standaard brandstof</v>
      </c>
      <c r="AF23" s="44" t="s">
        <v>105</v>
      </c>
      <c r="AG23" s="45" t="s">
        <v>73</v>
      </c>
      <c r="AH23" s="45" t="str">
        <f t="shared" ref="AH23:AH35" ca="1" si="23">IF(MW&gt;=1,"ja", "nee")</f>
        <v>ja</v>
      </c>
      <c r="AI23" s="45" t="s">
        <v>73</v>
      </c>
      <c r="AJ23" s="46" t="s">
        <v>73</v>
      </c>
      <c r="AK23" s="46" t="str">
        <f t="shared" si="19"/>
        <v>ja</v>
      </c>
      <c r="AL23" s="46" t="str">
        <f>IF(Uren=1,"ja","nee")</f>
        <v>nee</v>
      </c>
      <c r="AM23" s="56" t="s">
        <v>70</v>
      </c>
      <c r="AN23" s="59"/>
      <c r="AO23" s="72" t="str">
        <f>IF(Offshore,"er is een mijnbouwvergunning nodig","de stookinstallatie is op grond van de brandstof vergunningplichtig, zie art 3.5")</f>
        <v>de stookinstallatie is op grond van de brandstof vergunningplichtig, zie art 3.5</v>
      </c>
      <c r="AP23" s="31" t="str">
        <f ca="1">CONCATENATE("installatie kan onderdeel zijn van een samenstel van stookinstallaties, omdat de samenstelregel geldt vanaf 1 MWth, zie art. 4.431ba 2e lid",IF(MW&gt;=15,"; installatie mogelijk onderdeel van grote stookinstallatie",""))</f>
        <v>installatie kan onderdeel zijn van een samenstel van stookinstallaties, omdat de samenstelregel geldt vanaf 1 MWth, zie art. 4.431ba 2e lid</v>
      </c>
      <c r="AQ23" s="31" t="str">
        <f>CONCATENATE("maatwerk is mogelijk voor zover de eisen die voor ",IWTBALtxt," golden, niet versoepeld worden en de eisen niet soepeler zijn dan in de Richtlijn middelgrote stookinstallaties, zie art. 4.1340")</f>
        <v>maatwerk is mogelijk voor zover de eisen die voor 1-1-2024 golden, niet versoepeld worden en de eisen niet soepeler zijn dan in de Richtlijn middelgrote stookinstallaties, zie art. 4.1340</v>
      </c>
      <c r="AR23" s="31" t="s">
        <v>144</v>
      </c>
      <c r="AS23" s="31" t="s">
        <v>145</v>
      </c>
      <c r="AT23" s="31" t="str">
        <f ca="1">CONCATENATE(IF(AND(Uren=2,SI=5),"de 500-uursregeling  geldt niet door de elektriciteitslevering bij beschikbaar openbaar net",IF(Uren&gt;=2,"de 500-uursregeling geldt niet door de opgegeven bedrijfstijd","de emissie-eisen zijn niet van toepassing")),", zie art. 4.1343.",IF(AND(MW&gt;=1,OR(FBRAND1="s",FBRAND2="s"),Uren=1)," Er gaat wel een afwijkende stofemissie-eis van 100 of 200 mg/Nm3 gelden, zie art. 4.1350 en 4.1374.",""))</f>
        <v>de 500-uursregeling geldt niet door de opgegeven bedrijfstijd, zie art. 4.1343.</v>
      </c>
      <c r="AU23" s="31" t="str">
        <f>CONCATENATE("§",AF23," kent geen keuringsverplichting")</f>
        <v>§4.127 kent geen keuringsverplichting</v>
      </c>
      <c r="AV23" s="77"/>
    </row>
    <row r="24" spans="1:48" x14ac:dyDescent="0.2">
      <c r="A24" s="299"/>
      <c r="B24" s="339">
        <f t="shared" ca="1" si="8"/>
        <v>0</v>
      </c>
      <c r="C24" s="249">
        <f t="shared" ca="1" si="9"/>
        <v>0</v>
      </c>
      <c r="D24" s="64"/>
      <c r="E24" s="45"/>
      <c r="F24" s="247">
        <f t="shared" ca="1" si="10"/>
        <v>1</v>
      </c>
      <c r="G24" s="64">
        <f ca="1">IF(AND(ABS(TSI)=1,SI&lt;&gt;5),1,0)</f>
        <v>1</v>
      </c>
      <c r="H24" s="62">
        <f t="shared" ca="1" si="15"/>
        <v>1</v>
      </c>
      <c r="I24" s="45"/>
      <c r="J24" s="62"/>
      <c r="K24" s="45"/>
      <c r="L24" s="45">
        <f ca="1">IF(TBRAND1=2,1,0)</f>
        <v>0</v>
      </c>
      <c r="M24" s="45"/>
      <c r="N24" s="62">
        <f ca="1">IF(ABRAND2=0,0,IF(TBRAND2=2,1,0))</f>
        <v>0</v>
      </c>
      <c r="O24" s="62"/>
      <c r="P24" s="38" t="s">
        <v>60</v>
      </c>
      <c r="Q24" s="23" t="s">
        <v>33</v>
      </c>
      <c r="R24" s="23">
        <v>1</v>
      </c>
      <c r="S24" s="23">
        <v>50</v>
      </c>
      <c r="T24" s="82"/>
      <c r="U24" s="82"/>
      <c r="V24" s="82"/>
      <c r="W24" s="82"/>
      <c r="X24" s="82"/>
      <c r="Y24" s="20"/>
      <c r="Z24" s="51"/>
      <c r="AA24" s="23"/>
      <c r="AB24" s="85"/>
      <c r="AC24" s="82"/>
      <c r="AD24" s="77"/>
      <c r="AE24" s="38" t="str">
        <f t="shared" ca="1" si="20"/>
        <v>Standaard middelgrote stookinstallatie gestookt op standaard brandstof</v>
      </c>
      <c r="AF24" s="44" t="str">
        <f>AF23</f>
        <v>4.127</v>
      </c>
      <c r="AG24" s="45" t="s">
        <v>73</v>
      </c>
      <c r="AH24" s="45" t="str">
        <f t="shared" ca="1" si="23"/>
        <v>ja</v>
      </c>
      <c r="AI24" s="45" t="s">
        <v>73</v>
      </c>
      <c r="AJ24" s="46" t="s">
        <v>73</v>
      </c>
      <c r="AK24" s="46" t="str">
        <f t="shared" si="19"/>
        <v>ja</v>
      </c>
      <c r="AL24" s="46" t="str">
        <f>AL23</f>
        <v>nee</v>
      </c>
      <c r="AM24" s="56" t="s">
        <v>70</v>
      </c>
      <c r="AN24" s="59"/>
      <c r="AO24" s="73" t="str">
        <f>$AO$23</f>
        <v>de stookinstallatie is op grond van de brandstof vergunningplichtig, zie art 3.5</v>
      </c>
      <c r="AP24" s="32" t="str">
        <f t="shared" ref="AP24:AU24" ca="1" si="24">AP23</f>
        <v>installatie kan onderdeel zijn van een samenstel van stookinstallaties, omdat de samenstelregel geldt vanaf 1 MWth, zie art. 4.431ba 2e lid</v>
      </c>
      <c r="AQ24" s="32" t="str">
        <f t="shared" si="24"/>
        <v>maatwerk is mogelijk voor zover de eisen die voor 1-1-2024 golden, niet versoepeld worden en de eisen niet soepeler zijn dan in de Richtlijn middelgrote stookinstallaties, zie art. 4.1340</v>
      </c>
      <c r="AR24" s="32" t="str">
        <f t="shared" si="24"/>
        <v>de luchtparagraaf is van kracht, zie art 3.6</v>
      </c>
      <c r="AS24" s="32" t="str">
        <f t="shared" si="24"/>
        <v>de ZZS-paragraaf is van kracht, zie art 3.6</v>
      </c>
      <c r="AT24" s="32" t="str">
        <f t="shared" ca="1" si="24"/>
        <v>de 500-uursregeling geldt niet door de opgegeven bedrijfstijd, zie art. 4.1343.</v>
      </c>
      <c r="AU24" s="32" t="str">
        <f t="shared" si="24"/>
        <v>§4.127 kent geen keuringsverplichting</v>
      </c>
      <c r="AV24" s="77"/>
    </row>
    <row r="25" spans="1:48" x14ac:dyDescent="0.2">
      <c r="A25" s="299"/>
      <c r="B25" s="339">
        <f t="shared" ca="1" si="8"/>
        <v>0</v>
      </c>
      <c r="C25" s="249">
        <f t="shared" ca="1" si="9"/>
        <v>0</v>
      </c>
      <c r="D25" s="64"/>
      <c r="E25" s="45"/>
      <c r="F25" s="247">
        <f t="shared" ca="1" si="10"/>
        <v>1</v>
      </c>
      <c r="G25" s="64">
        <f ca="1">IF(TSI=2,1,0)</f>
        <v>0</v>
      </c>
      <c r="H25" s="62">
        <f t="shared" ca="1" si="15"/>
        <v>1</v>
      </c>
      <c r="I25" s="45"/>
      <c r="J25" s="62"/>
      <c r="K25" s="45"/>
      <c r="L25" s="45">
        <f ca="1">IF(TBRAND1=2,1,0)</f>
        <v>0</v>
      </c>
      <c r="M25" s="45"/>
      <c r="N25" s="62">
        <f ca="1">IF(ABRAND2=0,0,IF(TBRAND2=2,1,0))</f>
        <v>0</v>
      </c>
      <c r="O25" s="62"/>
      <c r="P25" s="39" t="s">
        <v>66</v>
      </c>
      <c r="Q25" s="23" t="s">
        <v>33</v>
      </c>
      <c r="R25" s="23">
        <v>1</v>
      </c>
      <c r="S25" s="23">
        <v>50</v>
      </c>
      <c r="T25" s="82"/>
      <c r="U25" s="82"/>
      <c r="V25" s="82"/>
      <c r="W25" s="82"/>
      <c r="X25" s="82"/>
      <c r="Y25" s="20"/>
      <c r="Z25" s="51"/>
      <c r="AA25" s="23"/>
      <c r="AB25" s="85"/>
      <c r="AC25" s="82"/>
      <c r="AD25" s="77"/>
      <c r="AE25" s="38" t="str">
        <f t="shared" ca="1" si="20"/>
        <v>Standaard middelgrote stookinstallatie gestookt op standaard brandstof</v>
      </c>
      <c r="AF25" s="44" t="str">
        <f>AF23</f>
        <v>4.127</v>
      </c>
      <c r="AG25" s="45" t="s">
        <v>73</v>
      </c>
      <c r="AH25" s="45" t="str">
        <f t="shared" ca="1" si="23"/>
        <v>ja</v>
      </c>
      <c r="AI25" s="45" t="s">
        <v>73</v>
      </c>
      <c r="AJ25" s="46" t="s">
        <v>73</v>
      </c>
      <c r="AK25" s="46" t="str">
        <f t="shared" si="19"/>
        <v>ja</v>
      </c>
      <c r="AL25" s="46" t="str">
        <f>AL24</f>
        <v>nee</v>
      </c>
      <c r="AM25" s="56" t="s">
        <v>70</v>
      </c>
      <c r="AN25" s="59"/>
      <c r="AO25" s="73" t="str">
        <f>$AO$23</f>
        <v>de stookinstallatie is op grond van de brandstof vergunningplichtig, zie art 3.5</v>
      </c>
      <c r="AP25" s="32" t="str">
        <f ca="1">AP24</f>
        <v>installatie kan onderdeel zijn van een samenstel van stookinstallaties, omdat de samenstelregel geldt vanaf 1 MWth, zie art. 4.431ba 2e lid</v>
      </c>
      <c r="AQ25" s="32" t="str">
        <f>AQ24</f>
        <v>maatwerk is mogelijk voor zover de eisen die voor 1-1-2024 golden, niet versoepeld worden en de eisen niet soepeler zijn dan in de Richtlijn middelgrote stookinstallaties, zie art. 4.1340</v>
      </c>
      <c r="AR25" s="32" t="str">
        <f>AR24</f>
        <v>de luchtparagraaf is van kracht, zie art 3.6</v>
      </c>
      <c r="AS25" s="32" t="str">
        <f t="shared" ref="AS25:AU32" si="25">AS24</f>
        <v>de ZZS-paragraaf is van kracht, zie art 3.6</v>
      </c>
      <c r="AT25" s="32" t="str">
        <f ca="1">AT24</f>
        <v>de 500-uursregeling geldt niet door de opgegeven bedrijfstijd, zie art. 4.1343.</v>
      </c>
      <c r="AU25" s="32" t="str">
        <f>AU24</f>
        <v>§4.127 kent geen keuringsverplichting</v>
      </c>
      <c r="AV25" s="20"/>
    </row>
    <row r="26" spans="1:48" x14ac:dyDescent="0.2">
      <c r="A26" s="299"/>
      <c r="B26" s="302"/>
      <c r="C26" s="342"/>
      <c r="D26" s="574"/>
      <c r="E26" s="303"/>
      <c r="F26" s="303"/>
      <c r="G26" s="574"/>
      <c r="H26" s="304"/>
      <c r="I26" s="303"/>
      <c r="J26" s="304"/>
      <c r="K26" s="303"/>
      <c r="L26" s="303"/>
      <c r="M26" s="303"/>
      <c r="N26" s="304"/>
      <c r="O26" s="304"/>
      <c r="P26" s="305"/>
      <c r="Q26" s="306"/>
      <c r="R26" s="306"/>
      <c r="S26" s="306"/>
      <c r="T26" s="307"/>
      <c r="U26" s="307"/>
      <c r="V26" s="307"/>
      <c r="W26" s="307"/>
      <c r="X26" s="307"/>
      <c r="Y26" s="308"/>
      <c r="Z26" s="309"/>
      <c r="AA26" s="306"/>
      <c r="AB26" s="310"/>
      <c r="AC26" s="307"/>
      <c r="AD26" s="311"/>
      <c r="AE26" s="312" t="str">
        <f t="shared" si="20"/>
        <v/>
      </c>
      <c r="AF26" s="283"/>
      <c r="AG26" s="303"/>
      <c r="AH26" s="303"/>
      <c r="AI26" s="303"/>
      <c r="AJ26" s="292"/>
      <c r="AK26" s="292"/>
      <c r="AL26" s="292"/>
      <c r="AM26" s="293"/>
      <c r="AN26" s="294"/>
      <c r="AO26" s="312"/>
      <c r="AP26" s="306"/>
      <c r="AQ26" s="306"/>
      <c r="AR26" s="306"/>
      <c r="AS26" s="306"/>
      <c r="AT26" s="306"/>
      <c r="AU26" s="306"/>
      <c r="AV26" s="308"/>
    </row>
    <row r="27" spans="1:48" x14ac:dyDescent="0.2">
      <c r="A27" s="299"/>
      <c r="B27" s="339">
        <f t="shared" ca="1" si="8"/>
        <v>0</v>
      </c>
      <c r="C27" s="249">
        <f t="shared" ca="1" si="9"/>
        <v>0</v>
      </c>
      <c r="D27" s="64"/>
      <c r="E27" s="45"/>
      <c r="F27" s="247">
        <f t="shared" ca="1" si="10"/>
        <v>0</v>
      </c>
      <c r="G27" s="64">
        <f ca="1">IF(SI=5,1,0)</f>
        <v>0</v>
      </c>
      <c r="H27" s="62">
        <f t="shared" ca="1" si="15"/>
        <v>1</v>
      </c>
      <c r="I27" s="45"/>
      <c r="J27" s="62"/>
      <c r="K27" s="45"/>
      <c r="L27" s="45">
        <f t="shared" ref="L27:L34" ca="1" si="26">IF(ABS(TBRAND1&lt;2),1,0)</f>
        <v>1</v>
      </c>
      <c r="M27" s="45"/>
      <c r="N27" s="62">
        <f t="shared" ref="N27:N34" ca="1" si="27">IF(ABRAND2=0,0,IF(ABS(TBRAND2&lt;2),1,0))</f>
        <v>0</v>
      </c>
      <c r="O27" s="62"/>
      <c r="P27" s="38" t="s">
        <v>58</v>
      </c>
      <c r="Q27" s="23" t="s">
        <v>31</v>
      </c>
      <c r="R27" s="23">
        <v>0.1</v>
      </c>
      <c r="S27" s="23">
        <v>1</v>
      </c>
      <c r="T27" s="82"/>
      <c r="U27" s="82"/>
      <c r="V27" s="82"/>
      <c r="W27" s="82"/>
      <c r="X27" s="82"/>
      <c r="Y27" s="20"/>
      <c r="Z27" s="51"/>
      <c r="AA27" s="23"/>
      <c r="AB27" s="85"/>
      <c r="AC27" s="82"/>
      <c r="AD27" s="77"/>
      <c r="AE27" s="38" t="str">
        <f t="shared" ca="1" si="20"/>
        <v>Standaard middelgrote stookinstallatie gestookt op standaard brandstof</v>
      </c>
      <c r="AF27" s="44" t="str">
        <f>$AF$14</f>
        <v>4.126</v>
      </c>
      <c r="AG27" s="46" t="str">
        <f t="shared" ref="AG27:AG32" si="28">IF(Offshore,"ja","nee")</f>
        <v>nee</v>
      </c>
      <c r="AH27" s="46" t="str">
        <f t="shared" ca="1" si="23"/>
        <v>ja</v>
      </c>
      <c r="AI27" s="46" t="str">
        <f t="shared" ref="AI27:AI32" ca="1" si="29">IF(INGTOT&lt;=IWTBAL,"nee","ja")</f>
        <v>nee</v>
      </c>
      <c r="AJ27" s="46" t="s">
        <v>70</v>
      </c>
      <c r="AK27" s="46" t="str">
        <f t="shared" si="19"/>
        <v>nee</v>
      </c>
      <c r="AL27" s="46" t="str">
        <f>AL25</f>
        <v>nee</v>
      </c>
      <c r="AM27" s="56" t="s">
        <v>73</v>
      </c>
      <c r="AN27" s="59"/>
      <c r="AO27" s="74" t="str">
        <f>$AO$14</f>
        <v>tenzij installatie onderdeel is van grootschalige energieopwekking, zie art 3.55</v>
      </c>
      <c r="AP27" s="26" t="str">
        <f ca="1">CONCATENATE(IF(MW&lt;1,"installatie is geen onderdeel van een samenstel van stookinstallaties, omdat de samenstelregel geldt vanaf 1 MWth","installatie kan onderdeel zijn van een samenstel van stookinstallaties, omdat de samenstelregel geldt vanaf 1 MW"),", zie art. 4.1292 3e lid",IF(MW&gt;=15,"; installatie ook onderdeel zijn van een grote stookinstallatie",""))</f>
        <v>installatie kan onderdeel zijn van een samenstel van stookinstallaties, omdat de samenstelregel geldt vanaf 1 MW, zie art. 4.1292 3e lid</v>
      </c>
      <c r="AQ27" s="75" t="str">
        <f ca="1">CONCATENATE(IF(INGVAN&gt;=IWTBAL,CONCATENATE("maatwerk is mogelijk voor zover de eisen die voor ",IWTBALtxt," golden, niet versoepeld worden en de eisen niet soepeler zijn dan in de Richtlijn middelgrote stookinstallaties, "),""),"zie art. 4.1296")</f>
        <v>zie art. 4.1296</v>
      </c>
      <c r="AR27" s="27" t="str">
        <f>$AR$14</f>
        <v>tenzij de stookinstallatie vergunningplichtig is, zie art 3.6</v>
      </c>
      <c r="AS27" s="27" t="str">
        <f>AS14</f>
        <v>tenzij de stookinstallatie vergunningplichtig is, zie art 3.6</v>
      </c>
      <c r="AT27" s="75" t="str">
        <f ca="1">CONCATENATE(IF(AND(Uren=2,SI=5),"de 500-uursregeling  geldt niet door de elektriciteitslevering bij beschikbaar openbaar net",IF(Uren&gt;=2,"de 500-uursregeling geldt niet door de opgegeven bedrijfstijd","de emissie-eisen zijn niet van toepassing")),", zie art. 4.1299.",IF(AND(MW&gt;=1,OR(FBRAND1="s",FBRAND2="s"),Uren=1)," Er gaat wel een afwijkende stofemissie-eis van 100 of 200 mg/Nm3 gelden, zie art. 4.1301 en 4.1331.",""))</f>
        <v>de 500-uursregeling geldt niet door de opgegeven bedrijfstijd, zie art. 4.1299.</v>
      </c>
      <c r="AU27" s="27" t="str">
        <f ca="1">AU14</f>
        <v>er geldt een 4-jaarlijkse keuringsverplichting, zie art. 4.1326</v>
      </c>
      <c r="AV27" s="77"/>
    </row>
    <row r="28" spans="1:48" x14ac:dyDescent="0.2">
      <c r="A28" s="299"/>
      <c r="B28" s="339">
        <f t="shared" ca="1" si="8"/>
        <v>0</v>
      </c>
      <c r="C28" s="249">
        <f t="shared" ca="1" si="9"/>
        <v>0</v>
      </c>
      <c r="D28" s="64"/>
      <c r="E28" s="45"/>
      <c r="F28" s="247">
        <f t="shared" ca="1" si="10"/>
        <v>1</v>
      </c>
      <c r="G28" s="64">
        <f ca="1">IF(SI=5,1,0)</f>
        <v>0</v>
      </c>
      <c r="H28" s="62">
        <f t="shared" ca="1" si="15"/>
        <v>1</v>
      </c>
      <c r="I28" s="45"/>
      <c r="J28" s="62"/>
      <c r="K28" s="45"/>
      <c r="L28" s="45">
        <f t="shared" ca="1" si="26"/>
        <v>1</v>
      </c>
      <c r="M28" s="45"/>
      <c r="N28" s="62">
        <f t="shared" ca="1" si="27"/>
        <v>0</v>
      </c>
      <c r="O28" s="62"/>
      <c r="P28" s="38" t="s">
        <v>59</v>
      </c>
      <c r="Q28" s="23" t="s">
        <v>31</v>
      </c>
      <c r="R28" s="23">
        <v>1</v>
      </c>
      <c r="S28" s="23">
        <v>50</v>
      </c>
      <c r="T28" s="82"/>
      <c r="U28" s="82"/>
      <c r="V28" s="82"/>
      <c r="W28" s="82"/>
      <c r="X28" s="82"/>
      <c r="Y28" s="20"/>
      <c r="Z28" s="51"/>
      <c r="AA28" s="23"/>
      <c r="AB28" s="85"/>
      <c r="AC28" s="82"/>
      <c r="AD28" s="77"/>
      <c r="AE28" s="38" t="str">
        <f t="shared" ca="1" si="20"/>
        <v>Standaard middelgrote stookinstallatie gestookt op standaard brandstof</v>
      </c>
      <c r="AF28" s="44" t="str">
        <f t="shared" ref="AF28:AF32" si="30">$AF$14</f>
        <v>4.126</v>
      </c>
      <c r="AG28" s="46" t="str">
        <f t="shared" si="28"/>
        <v>nee</v>
      </c>
      <c r="AH28" s="46" t="str">
        <f t="shared" ca="1" si="23"/>
        <v>ja</v>
      </c>
      <c r="AI28" s="46" t="str">
        <f t="shared" ca="1" si="29"/>
        <v>nee</v>
      </c>
      <c r="AJ28" s="46" t="str">
        <f>AJ27</f>
        <v>nee</v>
      </c>
      <c r="AK28" s="46" t="str">
        <f t="shared" si="19"/>
        <v>nee</v>
      </c>
      <c r="AL28" s="46" t="str">
        <f t="shared" ref="AL28:AL32" si="31">AL27</f>
        <v>nee</v>
      </c>
      <c r="AM28" s="56" t="s">
        <v>73</v>
      </c>
      <c r="AN28" s="59"/>
      <c r="AO28" s="74" t="str">
        <f t="shared" ref="AO28:AO32" si="32">$AO$14</f>
        <v>tenzij installatie onderdeel is van grootschalige energieopwekking, zie art 3.55</v>
      </c>
      <c r="AP28" s="27" t="str">
        <f ca="1">$AP$27</f>
        <v>installatie kan onderdeel zijn van een samenstel van stookinstallaties, omdat de samenstelregel geldt vanaf 1 MW, zie art. 4.1292 3e lid</v>
      </c>
      <c r="AQ28" s="76" t="str">
        <f ca="1">AQ27</f>
        <v>zie art. 4.1296</v>
      </c>
      <c r="AR28" s="27" t="str">
        <f t="shared" ref="AR28:AR34" si="33">$AR$14</f>
        <v>tenzij de stookinstallatie vergunningplichtig is, zie art 3.6</v>
      </c>
      <c r="AS28" s="27" t="str">
        <f t="shared" si="25"/>
        <v>tenzij de stookinstallatie vergunningplichtig is, zie art 3.6</v>
      </c>
      <c r="AT28" s="76" t="str">
        <f ca="1">AT27</f>
        <v>de 500-uursregeling geldt niet door de opgegeven bedrijfstijd, zie art. 4.1299.</v>
      </c>
      <c r="AU28" s="27" t="str">
        <f ca="1">AU27</f>
        <v>er geldt een 4-jaarlijkse keuringsverplichting, zie art. 4.1326</v>
      </c>
      <c r="AV28" s="20"/>
    </row>
    <row r="29" spans="1:48" x14ac:dyDescent="0.2">
      <c r="A29" s="299"/>
      <c r="B29" s="339">
        <f t="shared" ca="1" si="8"/>
        <v>0</v>
      </c>
      <c r="C29" s="249">
        <f t="shared" ca="1" si="9"/>
        <v>0</v>
      </c>
      <c r="D29" s="64"/>
      <c r="E29" s="45"/>
      <c r="F29" s="247">
        <f t="shared" ca="1" si="10"/>
        <v>0</v>
      </c>
      <c r="G29" s="64">
        <f ca="1">IF(AND(ABS(TSI)=1,SI&lt;&gt;5),1,0)</f>
        <v>1</v>
      </c>
      <c r="H29" s="62">
        <f t="shared" ca="1" si="15"/>
        <v>1</v>
      </c>
      <c r="I29" s="45"/>
      <c r="J29" s="62"/>
      <c r="K29" s="45"/>
      <c r="L29" s="45">
        <f t="shared" ca="1" si="26"/>
        <v>1</v>
      </c>
      <c r="M29" s="45"/>
      <c r="N29" s="62">
        <f t="shared" ca="1" si="27"/>
        <v>0</v>
      </c>
      <c r="O29" s="62"/>
      <c r="P29" s="38" t="s">
        <v>61</v>
      </c>
      <c r="Q29" s="23" t="s">
        <v>31</v>
      </c>
      <c r="R29" s="23">
        <v>0.1</v>
      </c>
      <c r="S29" s="23">
        <v>1</v>
      </c>
      <c r="T29" s="82"/>
      <c r="U29" s="82"/>
      <c r="V29" s="82"/>
      <c r="W29" s="82"/>
      <c r="X29" s="82"/>
      <c r="Y29" s="20"/>
      <c r="Z29" s="51"/>
      <c r="AA29" s="23"/>
      <c r="AB29" s="85"/>
      <c r="AC29" s="82"/>
      <c r="AD29" s="77"/>
      <c r="AE29" s="38" t="str">
        <f t="shared" ca="1" si="20"/>
        <v>Standaard middelgrote stookinstallatie gestookt op standaard brandstof</v>
      </c>
      <c r="AF29" s="44" t="str">
        <f t="shared" si="30"/>
        <v>4.126</v>
      </c>
      <c r="AG29" s="46" t="str">
        <f t="shared" si="28"/>
        <v>nee</v>
      </c>
      <c r="AH29" s="46" t="str">
        <f t="shared" ca="1" si="23"/>
        <v>ja</v>
      </c>
      <c r="AI29" s="46" t="str">
        <f t="shared" ca="1" si="29"/>
        <v>nee</v>
      </c>
      <c r="AJ29" s="46" t="str">
        <f t="shared" ref="AJ29:AJ32" si="34">AJ28</f>
        <v>nee</v>
      </c>
      <c r="AK29" s="46" t="str">
        <f t="shared" si="19"/>
        <v>nee</v>
      </c>
      <c r="AL29" s="46" t="str">
        <f>IF(Uren=1,"ja","nee")</f>
        <v>nee</v>
      </c>
      <c r="AM29" s="56" t="s">
        <v>73</v>
      </c>
      <c r="AN29" s="59"/>
      <c r="AO29" s="74" t="str">
        <f t="shared" si="32"/>
        <v>tenzij installatie onderdeel is van grootschalige energieopwekking, zie art 3.55</v>
      </c>
      <c r="AP29" s="27" t="str">
        <f t="shared" ref="AP29:AP32" ca="1" si="35">$AP$27</f>
        <v>installatie kan onderdeel zijn van een samenstel van stookinstallaties, omdat de samenstelregel geldt vanaf 1 MW, zie art. 4.1292 3e lid</v>
      </c>
      <c r="AQ29" s="76" t="str">
        <f t="shared" ref="AQ29" ca="1" si="36">AQ28</f>
        <v>zie art. 4.1296</v>
      </c>
      <c r="AR29" s="27" t="str">
        <f t="shared" si="33"/>
        <v>tenzij de stookinstallatie vergunningplichtig is, zie art 3.6</v>
      </c>
      <c r="AS29" s="27" t="str">
        <f t="shared" si="25"/>
        <v>tenzij de stookinstallatie vergunningplichtig is, zie art 3.6</v>
      </c>
      <c r="AT29" s="76" t="str">
        <f t="shared" ca="1" si="25"/>
        <v>de 500-uursregeling geldt niet door de opgegeven bedrijfstijd, zie art. 4.1299.</v>
      </c>
      <c r="AU29" s="27" t="str">
        <f t="shared" ca="1" si="25"/>
        <v>er geldt een 4-jaarlijkse keuringsverplichting, zie art. 4.1326</v>
      </c>
      <c r="AV29" s="77"/>
    </row>
    <row r="30" spans="1:48" x14ac:dyDescent="0.2">
      <c r="A30" s="299"/>
      <c r="B30" s="339">
        <f t="shared" ca="1" si="8"/>
        <v>30</v>
      </c>
      <c r="C30" s="249">
        <f t="shared" ca="1" si="9"/>
        <v>0</v>
      </c>
      <c r="D30" s="64"/>
      <c r="E30" s="45"/>
      <c r="F30" s="247">
        <f t="shared" ca="1" si="10"/>
        <v>1</v>
      </c>
      <c r="G30" s="64">
        <f ca="1">IF(AND(ABS(TSI)=1,SI&lt;&gt;5),1,0)</f>
        <v>1</v>
      </c>
      <c r="H30" s="62">
        <f t="shared" ca="1" si="15"/>
        <v>1</v>
      </c>
      <c r="I30" s="45"/>
      <c r="J30" s="62"/>
      <c r="K30" s="45"/>
      <c r="L30" s="45">
        <f t="shared" ca="1" si="26"/>
        <v>1</v>
      </c>
      <c r="M30" s="45"/>
      <c r="N30" s="62">
        <f t="shared" ca="1" si="27"/>
        <v>0</v>
      </c>
      <c r="O30" s="62"/>
      <c r="P30" s="38" t="s">
        <v>60</v>
      </c>
      <c r="Q30" s="23" t="s">
        <v>31</v>
      </c>
      <c r="R30" s="23">
        <v>1</v>
      </c>
      <c r="S30" s="23">
        <v>50</v>
      </c>
      <c r="T30" s="82"/>
      <c r="U30" s="82"/>
      <c r="V30" s="82"/>
      <c r="W30" s="82"/>
      <c r="X30" s="82"/>
      <c r="Y30" s="20"/>
      <c r="Z30" s="51"/>
      <c r="AA30" s="23"/>
      <c r="AB30" s="85"/>
      <c r="AC30" s="82"/>
      <c r="AD30" s="77"/>
      <c r="AE30" s="38" t="str">
        <f t="shared" ca="1" si="20"/>
        <v>Standaard middelgrote stookinstallatie gestookt op standaard brandstof</v>
      </c>
      <c r="AF30" s="44" t="str">
        <f t="shared" si="30"/>
        <v>4.126</v>
      </c>
      <c r="AG30" s="46" t="str">
        <f t="shared" si="28"/>
        <v>nee</v>
      </c>
      <c r="AH30" s="46" t="str">
        <f t="shared" ca="1" si="23"/>
        <v>ja</v>
      </c>
      <c r="AI30" s="46" t="str">
        <f t="shared" ca="1" si="29"/>
        <v>nee</v>
      </c>
      <c r="AJ30" s="46" t="str">
        <f t="shared" si="34"/>
        <v>nee</v>
      </c>
      <c r="AK30" s="46" t="str">
        <f t="shared" si="19"/>
        <v>nee</v>
      </c>
      <c r="AL30" s="46" t="str">
        <f t="shared" si="31"/>
        <v>nee</v>
      </c>
      <c r="AM30" s="56" t="s">
        <v>73</v>
      </c>
      <c r="AN30" s="59"/>
      <c r="AO30" s="74" t="str">
        <f t="shared" si="32"/>
        <v>tenzij installatie onderdeel is van grootschalige energieopwekking, zie art 3.55</v>
      </c>
      <c r="AP30" s="27" t="str">
        <f t="shared" ca="1" si="35"/>
        <v>installatie kan onderdeel zijn van een samenstel van stookinstallaties, omdat de samenstelregel geldt vanaf 1 MW, zie art. 4.1292 3e lid</v>
      </c>
      <c r="AQ30" s="76" t="str">
        <f t="shared" ref="AQ30" ca="1" si="37">AQ29</f>
        <v>zie art. 4.1296</v>
      </c>
      <c r="AR30" s="27" t="str">
        <f t="shared" si="33"/>
        <v>tenzij de stookinstallatie vergunningplichtig is, zie art 3.6</v>
      </c>
      <c r="AS30" s="27" t="str">
        <f t="shared" si="25"/>
        <v>tenzij de stookinstallatie vergunningplichtig is, zie art 3.6</v>
      </c>
      <c r="AT30" s="76" t="str">
        <f t="shared" ca="1" si="25"/>
        <v>de 500-uursregeling geldt niet door de opgegeven bedrijfstijd, zie art. 4.1299.</v>
      </c>
      <c r="AU30" s="27" t="str">
        <f t="shared" ca="1" si="25"/>
        <v>er geldt een 4-jaarlijkse keuringsverplichting, zie art. 4.1326</v>
      </c>
      <c r="AV30" s="20"/>
    </row>
    <row r="31" spans="1:48" x14ac:dyDescent="0.2">
      <c r="A31" s="299"/>
      <c r="B31" s="339">
        <f t="shared" ca="1" si="8"/>
        <v>0</v>
      </c>
      <c r="C31" s="249">
        <f t="shared" ca="1" si="9"/>
        <v>0</v>
      </c>
      <c r="D31" s="64"/>
      <c r="E31" s="45"/>
      <c r="F31" s="247">
        <f t="shared" ca="1" si="10"/>
        <v>0</v>
      </c>
      <c r="G31" s="64">
        <f ca="1">IF(TSI=2,1,0)</f>
        <v>0</v>
      </c>
      <c r="H31" s="62">
        <f t="shared" ca="1" si="15"/>
        <v>1</v>
      </c>
      <c r="I31" s="45"/>
      <c r="J31" s="62"/>
      <c r="K31" s="45"/>
      <c r="L31" s="45">
        <f t="shared" ca="1" si="26"/>
        <v>1</v>
      </c>
      <c r="M31" s="45"/>
      <c r="N31" s="62">
        <f t="shared" ca="1" si="27"/>
        <v>0</v>
      </c>
      <c r="O31" s="62"/>
      <c r="P31" s="38" t="s">
        <v>62</v>
      </c>
      <c r="Q31" s="23" t="s">
        <v>31</v>
      </c>
      <c r="R31" s="23">
        <v>0.1</v>
      </c>
      <c r="S31" s="23">
        <v>1</v>
      </c>
      <c r="T31" s="82"/>
      <c r="U31" s="82"/>
      <c r="V31" s="82"/>
      <c r="W31" s="82"/>
      <c r="X31" s="82"/>
      <c r="Y31" s="20"/>
      <c r="Z31" s="51"/>
      <c r="AA31" s="23"/>
      <c r="AB31" s="85"/>
      <c r="AC31" s="82"/>
      <c r="AD31" s="77"/>
      <c r="AE31" s="38" t="str">
        <f t="shared" ca="1" si="20"/>
        <v>Standaard middelgrote stookinstallatie gestookt op standaard brandstof</v>
      </c>
      <c r="AF31" s="44" t="str">
        <f t="shared" si="30"/>
        <v>4.126</v>
      </c>
      <c r="AG31" s="46" t="str">
        <f t="shared" si="28"/>
        <v>nee</v>
      </c>
      <c r="AH31" s="46" t="str">
        <f t="shared" ca="1" si="23"/>
        <v>ja</v>
      </c>
      <c r="AI31" s="46" t="str">
        <f t="shared" ca="1" si="29"/>
        <v>nee</v>
      </c>
      <c r="AJ31" s="46" t="str">
        <f t="shared" si="34"/>
        <v>nee</v>
      </c>
      <c r="AK31" s="46" t="str">
        <f t="shared" si="19"/>
        <v>nee</v>
      </c>
      <c r="AL31" s="46" t="str">
        <f t="shared" si="31"/>
        <v>nee</v>
      </c>
      <c r="AM31" s="56" t="s">
        <v>73</v>
      </c>
      <c r="AN31" s="59"/>
      <c r="AO31" s="74" t="str">
        <f t="shared" si="32"/>
        <v>tenzij installatie onderdeel is van grootschalige energieopwekking, zie art 3.55</v>
      </c>
      <c r="AP31" s="27" t="str">
        <f t="shared" ca="1" si="35"/>
        <v>installatie kan onderdeel zijn van een samenstel van stookinstallaties, omdat de samenstelregel geldt vanaf 1 MW, zie art. 4.1292 3e lid</v>
      </c>
      <c r="AQ31" s="76" t="str">
        <f t="shared" ref="AQ31" ca="1" si="38">AQ30</f>
        <v>zie art. 4.1296</v>
      </c>
      <c r="AR31" s="27" t="str">
        <f t="shared" si="33"/>
        <v>tenzij de stookinstallatie vergunningplichtig is, zie art 3.6</v>
      </c>
      <c r="AS31" s="27" t="str">
        <f t="shared" si="25"/>
        <v>tenzij de stookinstallatie vergunningplichtig is, zie art 3.6</v>
      </c>
      <c r="AT31" s="76" t="str">
        <f t="shared" ca="1" si="25"/>
        <v>de 500-uursregeling geldt niet door de opgegeven bedrijfstijd, zie art. 4.1299.</v>
      </c>
      <c r="AU31" s="27" t="str">
        <f t="shared" ca="1" si="25"/>
        <v>er geldt een 4-jaarlijkse keuringsverplichting, zie art. 4.1326</v>
      </c>
      <c r="AV31" s="77"/>
    </row>
    <row r="32" spans="1:48" x14ac:dyDescent="0.2">
      <c r="A32" s="299"/>
      <c r="B32" s="339">
        <f t="shared" ca="1" si="8"/>
        <v>0</v>
      </c>
      <c r="C32" s="249">
        <f t="shared" ca="1" si="9"/>
        <v>0</v>
      </c>
      <c r="D32" s="64"/>
      <c r="E32" s="45"/>
      <c r="F32" s="247">
        <f t="shared" ca="1" si="10"/>
        <v>1</v>
      </c>
      <c r="G32" s="64">
        <f ca="1">IF(TSI=2,1,0)</f>
        <v>0</v>
      </c>
      <c r="H32" s="62">
        <f t="shared" ca="1" si="15"/>
        <v>1</v>
      </c>
      <c r="I32" s="45"/>
      <c r="J32" s="62"/>
      <c r="K32" s="45"/>
      <c r="L32" s="45">
        <f t="shared" ca="1" si="26"/>
        <v>1</v>
      </c>
      <c r="M32" s="45"/>
      <c r="N32" s="62">
        <f t="shared" ca="1" si="27"/>
        <v>0</v>
      </c>
      <c r="O32" s="62"/>
      <c r="P32" s="38" t="s">
        <v>63</v>
      </c>
      <c r="Q32" s="23" t="s">
        <v>31</v>
      </c>
      <c r="R32" s="23">
        <v>1</v>
      </c>
      <c r="S32" s="23">
        <v>50</v>
      </c>
      <c r="T32" s="82"/>
      <c r="U32" s="82"/>
      <c r="V32" s="82"/>
      <c r="W32" s="82"/>
      <c r="X32" s="82"/>
      <c r="Y32" s="20"/>
      <c r="Z32" s="51"/>
      <c r="AA32" s="23"/>
      <c r="AB32" s="85"/>
      <c r="AC32" s="82"/>
      <c r="AD32" s="77"/>
      <c r="AE32" s="38" t="str">
        <f t="shared" ca="1" si="20"/>
        <v>Standaard middelgrote stookinstallatie gestookt op standaard brandstof</v>
      </c>
      <c r="AF32" s="44" t="str">
        <f t="shared" si="30"/>
        <v>4.126</v>
      </c>
      <c r="AG32" s="46" t="str">
        <f t="shared" si="28"/>
        <v>nee</v>
      </c>
      <c r="AH32" s="46" t="str">
        <f t="shared" ca="1" si="23"/>
        <v>ja</v>
      </c>
      <c r="AI32" s="46" t="str">
        <f t="shared" ca="1" si="29"/>
        <v>nee</v>
      </c>
      <c r="AJ32" s="46" t="str">
        <f t="shared" si="34"/>
        <v>nee</v>
      </c>
      <c r="AK32" s="46" t="str">
        <f t="shared" si="19"/>
        <v>nee</v>
      </c>
      <c r="AL32" s="46" t="str">
        <f t="shared" si="31"/>
        <v>nee</v>
      </c>
      <c r="AM32" s="56" t="s">
        <v>73</v>
      </c>
      <c r="AN32" s="59"/>
      <c r="AO32" s="74" t="str">
        <f t="shared" si="32"/>
        <v>tenzij installatie onderdeel is van grootschalige energieopwekking, zie art 3.55</v>
      </c>
      <c r="AP32" s="27" t="str">
        <f t="shared" ca="1" si="35"/>
        <v>installatie kan onderdeel zijn van een samenstel van stookinstallaties, omdat de samenstelregel geldt vanaf 1 MW, zie art. 4.1292 3e lid</v>
      </c>
      <c r="AQ32" s="76" t="str">
        <f t="shared" ref="AQ32" ca="1" si="39">AQ31</f>
        <v>zie art. 4.1296</v>
      </c>
      <c r="AR32" s="27" t="str">
        <f t="shared" si="33"/>
        <v>tenzij de stookinstallatie vergunningplichtig is, zie art 3.6</v>
      </c>
      <c r="AS32" s="27" t="str">
        <f t="shared" si="25"/>
        <v>tenzij de stookinstallatie vergunningplichtig is, zie art 3.6</v>
      </c>
      <c r="AT32" s="76" t="str">
        <f t="shared" ca="1" si="25"/>
        <v>de 500-uursregeling geldt niet door de opgegeven bedrijfstijd, zie art. 4.1299.</v>
      </c>
      <c r="AU32" s="27" t="str">
        <f t="shared" ca="1" si="25"/>
        <v>er geldt een 4-jaarlijkse keuringsverplichting, zie art. 4.1326</v>
      </c>
      <c r="AV32" s="20"/>
    </row>
    <row r="33" spans="1:48" x14ac:dyDescent="0.2">
      <c r="A33" s="299"/>
      <c r="B33" s="302"/>
      <c r="C33" s="342"/>
      <c r="D33" s="574"/>
      <c r="E33" s="303"/>
      <c r="F33" s="303"/>
      <c r="G33" s="574"/>
      <c r="H33" s="304"/>
      <c r="I33" s="303"/>
      <c r="J33" s="304"/>
      <c r="K33" s="303"/>
      <c r="L33" s="303"/>
      <c r="M33" s="303"/>
      <c r="N33" s="304"/>
      <c r="O33" s="304"/>
      <c r="P33" s="305"/>
      <c r="Q33" s="306"/>
      <c r="R33" s="306"/>
      <c r="S33" s="306"/>
      <c r="T33" s="307"/>
      <c r="U33" s="307"/>
      <c r="V33" s="307"/>
      <c r="W33" s="307"/>
      <c r="X33" s="307"/>
      <c r="Y33" s="308"/>
      <c r="Z33" s="309"/>
      <c r="AA33" s="306"/>
      <c r="AB33" s="310"/>
      <c r="AC33" s="307"/>
      <c r="AD33" s="311"/>
      <c r="AE33" s="312" t="str">
        <f t="shared" si="20"/>
        <v/>
      </c>
      <c r="AF33" s="283"/>
      <c r="AG33" s="303"/>
      <c r="AH33" s="303"/>
      <c r="AI33" s="303"/>
      <c r="AJ33" s="292"/>
      <c r="AK33" s="292"/>
      <c r="AL33" s="292"/>
      <c r="AM33" s="293"/>
      <c r="AN33" s="294"/>
      <c r="AO33" s="312"/>
      <c r="AP33" s="306"/>
      <c r="AQ33" s="306"/>
      <c r="AR33" s="306"/>
      <c r="AS33" s="306"/>
      <c r="AT33" s="306"/>
      <c r="AU33" s="306"/>
      <c r="AV33" s="308"/>
    </row>
    <row r="34" spans="1:48" x14ac:dyDescent="0.2">
      <c r="A34" s="299"/>
      <c r="B34" s="339">
        <f t="shared" ca="1" si="8"/>
        <v>0</v>
      </c>
      <c r="C34" s="249">
        <f t="shared" ca="1" si="9"/>
        <v>0</v>
      </c>
      <c r="D34" s="64"/>
      <c r="E34" s="45"/>
      <c r="F34" s="247">
        <f t="shared" ca="1" si="10"/>
        <v>0</v>
      </c>
      <c r="G34" s="64">
        <f ca="1">IF(TSI=3,0,1)</f>
        <v>1</v>
      </c>
      <c r="H34" s="62">
        <f t="shared" ca="1" si="15"/>
        <v>1</v>
      </c>
      <c r="I34" s="45">
        <f>IF(Offshore,1,0)</f>
        <v>0</v>
      </c>
      <c r="J34" s="62"/>
      <c r="K34" s="45"/>
      <c r="L34" s="45">
        <f t="shared" ca="1" si="26"/>
        <v>1</v>
      </c>
      <c r="M34" s="45"/>
      <c r="N34" s="62">
        <f t="shared" ca="1" si="27"/>
        <v>0</v>
      </c>
      <c r="O34" s="62"/>
      <c r="P34" s="38" t="s">
        <v>111</v>
      </c>
      <c r="Q34" s="23" t="s">
        <v>31</v>
      </c>
      <c r="R34" s="23">
        <v>50</v>
      </c>
      <c r="S34" s="23"/>
      <c r="T34" s="82"/>
      <c r="U34" s="82"/>
      <c r="V34" s="82"/>
      <c r="W34" s="82"/>
      <c r="X34" s="82"/>
      <c r="Y34" s="20"/>
      <c r="Z34" s="51"/>
      <c r="AA34" s="78"/>
      <c r="AB34" s="85"/>
      <c r="AC34" s="82"/>
      <c r="AD34" s="77"/>
      <c r="AE34" s="38" t="str">
        <f t="shared" ca="1" si="20"/>
        <v>Standaard middelgrote stookinstallatie gestookt op standaard brandstof</v>
      </c>
      <c r="AF34" s="44" t="s">
        <v>106</v>
      </c>
      <c r="AG34" s="46" t="s">
        <v>73</v>
      </c>
      <c r="AH34" s="46" t="s">
        <v>73</v>
      </c>
      <c r="AI34" s="46" t="s">
        <v>73</v>
      </c>
      <c r="AJ34" s="46" t="s">
        <v>70</v>
      </c>
      <c r="AK34" s="46" t="s">
        <v>70</v>
      </c>
      <c r="AL34" s="46" t="str">
        <f>AL32</f>
        <v>nee</v>
      </c>
      <c r="AM34" s="56" t="s">
        <v>73</v>
      </c>
      <c r="AN34" s="59"/>
      <c r="AO34" s="318" t="s">
        <v>112</v>
      </c>
      <c r="AP34" s="318" t="str">
        <f ca="1">CONCATENATE(IF(MW&lt;1,"installatie is geen onderdeel van een samenstel van stookinstallaties, omdat de samenstelregel geldt vanaf 1 MWth","installatie kan onderdeel zijn van een samenstel van stookinstallaties, omdat de samenstelregel geldt vanaf 1 MW"),", zie art. 4.1292 3e lid")</f>
        <v>installatie kan onderdeel zijn van een samenstel van stookinstallaties, omdat de samenstelregel geldt vanaf 1 MW, zie art. 4.1292 3e lid</v>
      </c>
      <c r="AQ34" s="76" t="str">
        <f ca="1">AQ32</f>
        <v>zie art. 4.1296</v>
      </c>
      <c r="AR34" s="27" t="str">
        <f t="shared" si="33"/>
        <v>tenzij de stookinstallatie vergunningplichtig is, zie art 3.6</v>
      </c>
      <c r="AS34" s="27" t="str">
        <f>AS32</f>
        <v>tenzij de stookinstallatie vergunningplichtig is, zie art 3.6</v>
      </c>
      <c r="AT34" s="76" t="str">
        <f ca="1">AT32</f>
        <v>de 500-uursregeling geldt niet door de opgegeven bedrijfstijd, zie art. 4.1299.</v>
      </c>
      <c r="AU34" s="27" t="str">
        <f ca="1">AU32</f>
        <v>er geldt een 4-jaarlijkse keuringsverplichting, zie art. 4.1326</v>
      </c>
      <c r="AV34" s="20"/>
    </row>
    <row r="35" spans="1:48" x14ac:dyDescent="0.2">
      <c r="A35" s="299"/>
      <c r="B35" s="339">
        <f t="shared" ca="1" si="8"/>
        <v>0</v>
      </c>
      <c r="C35" s="249">
        <f t="shared" ca="1" si="9"/>
        <v>0</v>
      </c>
      <c r="D35" s="64"/>
      <c r="E35" s="45"/>
      <c r="F35" s="247">
        <f t="shared" ca="1" si="10"/>
        <v>0</v>
      </c>
      <c r="G35" s="64">
        <f ca="1">IF(TSI=3,0,1)</f>
        <v>1</v>
      </c>
      <c r="H35" s="62">
        <f t="shared" ca="1" si="15"/>
        <v>1</v>
      </c>
      <c r="I35" s="45">
        <f>IF(Offshore,1,0)</f>
        <v>0</v>
      </c>
      <c r="J35" s="62"/>
      <c r="K35" s="45"/>
      <c r="L35" s="45">
        <f ca="1">IF(TBRAND1=2,1,0)</f>
        <v>0</v>
      </c>
      <c r="M35" s="45"/>
      <c r="N35" s="62">
        <f ca="1">IF(ABRAND2=0,0,IF(TBRAND2=2,1,0))</f>
        <v>0</v>
      </c>
      <c r="O35" s="62"/>
      <c r="P35" s="38" t="s">
        <v>111</v>
      </c>
      <c r="Q35" s="23" t="s">
        <v>33</v>
      </c>
      <c r="R35" s="23">
        <v>50</v>
      </c>
      <c r="S35" s="23"/>
      <c r="T35" s="82"/>
      <c r="U35" s="82"/>
      <c r="V35" s="82"/>
      <c r="W35" s="82"/>
      <c r="X35" s="82"/>
      <c r="Y35" s="20"/>
      <c r="Z35" s="51"/>
      <c r="AA35" s="23"/>
      <c r="AB35" s="85"/>
      <c r="AC35" s="82"/>
      <c r="AD35" s="77"/>
      <c r="AE35" s="38" t="str">
        <f t="shared" ca="1" si="20"/>
        <v>Standaard middelgrote stookinstallatie gestookt op standaard brandstof</v>
      </c>
      <c r="AF35" s="44" t="s">
        <v>105</v>
      </c>
      <c r="AG35" s="45" t="s">
        <v>73</v>
      </c>
      <c r="AH35" s="45" t="str">
        <f t="shared" ca="1" si="23"/>
        <v>ja</v>
      </c>
      <c r="AI35" s="45" t="s">
        <v>73</v>
      </c>
      <c r="AJ35" s="46" t="s">
        <v>73</v>
      </c>
      <c r="AK35" s="46" t="str">
        <f t="shared" ref="AK35" si="40">IF(AG35="ja","ja","nee")</f>
        <v>ja</v>
      </c>
      <c r="AL35" s="46" t="str">
        <f>AL34</f>
        <v>nee</v>
      </c>
      <c r="AM35" s="56" t="s">
        <v>70</v>
      </c>
      <c r="AN35" s="59"/>
      <c r="AO35" s="301" t="str">
        <f>AO34</f>
        <v>er is een mijnbouwvergunning nodig</v>
      </c>
      <c r="AP35" s="32" t="str">
        <f ca="1">AP34</f>
        <v>installatie kan onderdeel zijn van een samenstel van stookinstallaties, omdat de samenstelregel geldt vanaf 1 MW, zie art. 4.1292 3e lid</v>
      </c>
      <c r="AQ35" s="32" t="str">
        <f>AQ23</f>
        <v>maatwerk is mogelijk voor zover de eisen die voor 1-1-2024 golden, niet versoepeld worden en de eisen niet soepeler zijn dan in de Richtlijn middelgrote stookinstallaties, zie art. 4.1340</v>
      </c>
      <c r="AR35" s="32" t="str">
        <f>AR23</f>
        <v>de luchtparagraaf is van kracht, zie art 3.6</v>
      </c>
      <c r="AS35" s="32" t="str">
        <f>AS25</f>
        <v>de ZZS-paragraaf is van kracht, zie art 3.6</v>
      </c>
      <c r="AT35" s="32" t="str">
        <f ca="1">AT23</f>
        <v>de 500-uursregeling geldt niet door de opgegeven bedrijfstijd, zie art. 4.1343.</v>
      </c>
      <c r="AU35" s="32" t="str">
        <f>AU23</f>
        <v>§4.127 kent geen keuringsverplichting</v>
      </c>
      <c r="AV35" s="20"/>
    </row>
    <row r="36" spans="1:48" x14ac:dyDescent="0.2">
      <c r="A36" s="299"/>
      <c r="B36" s="302"/>
      <c r="C36" s="342"/>
      <c r="D36" s="574"/>
      <c r="E36" s="303"/>
      <c r="F36" s="303"/>
      <c r="G36" s="574"/>
      <c r="H36" s="303"/>
      <c r="I36" s="303"/>
      <c r="J36" s="304"/>
      <c r="K36" s="303"/>
      <c r="L36" s="304"/>
      <c r="M36" s="303"/>
      <c r="N36" s="304"/>
      <c r="O36" s="304"/>
      <c r="P36" s="305"/>
      <c r="Q36" s="306"/>
      <c r="R36" s="306"/>
      <c r="S36" s="306"/>
      <c r="T36" s="307"/>
      <c r="U36" s="307"/>
      <c r="V36" s="307"/>
      <c r="W36" s="307"/>
      <c r="X36" s="307"/>
      <c r="Y36" s="308"/>
      <c r="Z36" s="309"/>
      <c r="AA36" s="306"/>
      <c r="AB36" s="310"/>
      <c r="AC36" s="307"/>
      <c r="AD36" s="311"/>
      <c r="AE36" s="312" t="str">
        <f t="shared" si="20"/>
        <v/>
      </c>
      <c r="AF36" s="283"/>
      <c r="AG36" s="303"/>
      <c r="AH36" s="303"/>
      <c r="AI36" s="303"/>
      <c r="AJ36" s="292"/>
      <c r="AK36" s="292"/>
      <c r="AL36" s="292"/>
      <c r="AM36" s="293"/>
      <c r="AN36" s="294"/>
      <c r="AO36" s="312"/>
      <c r="AP36" s="306"/>
      <c r="AQ36" s="306"/>
      <c r="AR36" s="306"/>
      <c r="AS36" s="306"/>
      <c r="AT36" s="306"/>
      <c r="AU36" s="306"/>
      <c r="AV36" s="308"/>
    </row>
    <row r="37" spans="1:48" x14ac:dyDescent="0.2">
      <c r="A37" s="299"/>
      <c r="B37" s="581"/>
      <c r="C37" s="59"/>
      <c r="D37" s="64"/>
      <c r="E37" s="45"/>
      <c r="F37" s="46"/>
      <c r="G37" s="64"/>
      <c r="H37" s="45"/>
      <c r="I37" s="45"/>
      <c r="J37" s="62"/>
      <c r="K37" s="45"/>
      <c r="L37" s="62"/>
      <c r="M37" s="45"/>
      <c r="N37" s="62"/>
      <c r="O37" s="62"/>
      <c r="P37" s="38"/>
      <c r="Q37" s="23"/>
      <c r="R37" s="23"/>
      <c r="S37" s="23"/>
      <c r="T37" s="82"/>
      <c r="U37" s="82"/>
      <c r="V37" s="82"/>
      <c r="W37" s="82"/>
      <c r="X37" s="82"/>
      <c r="Y37" s="20"/>
      <c r="Z37" s="313"/>
      <c r="AA37" s="314"/>
      <c r="AB37" s="315"/>
      <c r="AC37" s="316"/>
      <c r="AD37" s="317"/>
      <c r="AE37" s="38" t="str">
        <f t="shared" si="20"/>
        <v/>
      </c>
      <c r="AF37" s="44"/>
      <c r="AG37" s="45"/>
      <c r="AH37" s="45"/>
      <c r="AI37" s="45"/>
      <c r="AJ37" s="46"/>
      <c r="AK37" s="46"/>
      <c r="AL37" s="46"/>
      <c r="AM37" s="56"/>
      <c r="AN37" s="59"/>
      <c r="AO37" s="38"/>
      <c r="AP37" s="23"/>
      <c r="AQ37" s="23"/>
      <c r="AR37" s="23"/>
      <c r="AS37" s="23"/>
      <c r="AT37" s="23"/>
      <c r="AU37" s="23"/>
      <c r="AV37" s="20"/>
    </row>
    <row r="38" spans="1:48" ht="12" thickBot="1" x14ac:dyDescent="0.25">
      <c r="A38" s="300"/>
      <c r="B38" s="582"/>
      <c r="C38" s="60"/>
      <c r="D38" s="575"/>
      <c r="E38" s="48"/>
      <c r="F38" s="49"/>
      <c r="G38" s="575"/>
      <c r="H38" s="48"/>
      <c r="I38" s="48"/>
      <c r="J38" s="63"/>
      <c r="K38" s="48"/>
      <c r="L38" s="63"/>
      <c r="M38" s="48"/>
      <c r="N38" s="63"/>
      <c r="O38" s="63"/>
      <c r="P38" s="40"/>
      <c r="Q38" s="35"/>
      <c r="R38" s="35"/>
      <c r="S38" s="35"/>
      <c r="T38" s="89"/>
      <c r="U38" s="89"/>
      <c r="V38" s="89"/>
      <c r="W38" s="89"/>
      <c r="X38" s="89"/>
      <c r="Y38" s="54"/>
      <c r="Z38" s="53"/>
      <c r="AA38" s="33"/>
      <c r="AB38" s="86"/>
      <c r="AC38" s="83"/>
      <c r="AD38" s="34"/>
      <c r="AE38" s="40" t="str">
        <f t="shared" si="20"/>
        <v/>
      </c>
      <c r="AF38" s="47"/>
      <c r="AG38" s="48"/>
      <c r="AH38" s="48"/>
      <c r="AI38" s="48"/>
      <c r="AJ38" s="49"/>
      <c r="AK38" s="49"/>
      <c r="AL38" s="49"/>
      <c r="AM38" s="57"/>
      <c r="AN38" s="60"/>
      <c r="AO38" s="40"/>
      <c r="AP38" s="35"/>
      <c r="AQ38" s="35"/>
      <c r="AR38" s="35"/>
      <c r="AS38" s="35"/>
      <c r="AT38" s="35"/>
      <c r="AU38" s="35"/>
      <c r="AV38" s="54"/>
    </row>
  </sheetData>
  <mergeCells count="4">
    <mergeCell ref="B1:B3"/>
    <mergeCell ref="C1:C3"/>
    <mergeCell ref="Z1:AA1"/>
    <mergeCell ref="AB1:AD1"/>
  </mergeCells>
  <pageMargins left="0.25" right="0.25" top="0.75" bottom="0.75" header="0.3" footer="0.3"/>
  <pageSetup paperSize="9" scale="64"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94"/>
  <sheetViews>
    <sheetView zoomScale="90" zoomScaleNormal="90" workbookViewId="0">
      <pane xSplit="20" ySplit="6" topLeftCell="AS7" activePane="bottomRight" state="frozen"/>
      <selection pane="topRight" activeCell="U1" sqref="U1"/>
      <selection pane="bottomLeft" activeCell="A7" sqref="A7"/>
      <selection pane="bottomRight" activeCell="AX4" sqref="AX4"/>
    </sheetView>
  </sheetViews>
  <sheetFormatPr defaultRowHeight="11.25" x14ac:dyDescent="0.2"/>
  <cols>
    <col min="1" max="1" width="18.5" style="14" customWidth="1"/>
    <col min="2" max="2" width="2.75" style="36" customWidth="1"/>
    <col min="3" max="3" width="3.25" style="36"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5" width="7.125" style="3" customWidth="1"/>
    <col min="36" max="36" width="7.625" style="3" bestFit="1"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NOx</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IF($B$5=0,"",IF(INDEX(AK$1:AK$94,$B$5)="","",IF(AND(OR($AI5="",INGVAN="",$AI5&lt;=INGVAN),OR($AI5="",INGTOT="",$AI5&lt;=INGTOT)),1,0)))</f>
        <v/>
      </c>
      <c r="AL1" s="184" t="str">
        <f ca="1">IF($B$5=0,"",IF(INDEX(AK$1:AK$94,$B$5)="","",IF(AND(OR($AJ5="",INGVAN="",$AJ5&gt;=INGVAN),OR($AJ5="",INGTOT="",$AJ5&gt;=INGTOT)),1,0)))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126</v>
      </c>
      <c r="B2" s="927"/>
      <c r="C2" s="930"/>
      <c r="D2" s="123">
        <v>1</v>
      </c>
      <c r="E2" s="124">
        <f>D2+1</f>
        <v>2</v>
      </c>
      <c r="F2" s="124">
        <f t="shared" ref="F2:L2" si="0">E2+1</f>
        <v>3</v>
      </c>
      <c r="G2" s="124">
        <f t="shared" si="0"/>
        <v>4</v>
      </c>
      <c r="H2" s="179">
        <f t="shared" si="0"/>
        <v>5</v>
      </c>
      <c r="I2" s="179">
        <f t="shared" si="0"/>
        <v>6</v>
      </c>
      <c r="J2" s="179">
        <f t="shared" si="0"/>
        <v>7</v>
      </c>
      <c r="K2" s="138">
        <f t="shared" si="0"/>
        <v>8</v>
      </c>
      <c r="L2" s="124">
        <f t="shared" si="0"/>
        <v>9</v>
      </c>
      <c r="M2" s="124">
        <f t="shared" ref="M2" si="1">L2+1</f>
        <v>10</v>
      </c>
      <c r="N2" s="124">
        <f t="shared" ref="N2" si="2">M2+1</f>
        <v>11</v>
      </c>
      <c r="O2" s="124">
        <f t="shared" ref="O2" si="3">N2+1</f>
        <v>12</v>
      </c>
      <c r="P2" s="133">
        <v>1</v>
      </c>
      <c r="Q2" s="124">
        <f t="shared" ref="Q2:Y2" si="4">P2+1</f>
        <v>2</v>
      </c>
      <c r="R2" s="124">
        <f t="shared" si="4"/>
        <v>3</v>
      </c>
      <c r="S2" s="124">
        <f>R2+1</f>
        <v>4</v>
      </c>
      <c r="T2" s="124">
        <f t="shared" si="4"/>
        <v>5</v>
      </c>
      <c r="U2" s="138">
        <f t="shared" si="4"/>
        <v>6</v>
      </c>
      <c r="V2" s="138">
        <f t="shared" si="4"/>
        <v>7</v>
      </c>
      <c r="W2" s="138">
        <f t="shared" si="4"/>
        <v>8</v>
      </c>
      <c r="X2" s="138">
        <f t="shared" si="4"/>
        <v>9</v>
      </c>
      <c r="Y2" s="139">
        <f t="shared" si="4"/>
        <v>10</v>
      </c>
      <c r="Z2" s="123">
        <v>1</v>
      </c>
      <c r="AA2" s="124">
        <v>2</v>
      </c>
      <c r="AB2" s="123">
        <v>1</v>
      </c>
      <c r="AC2" s="125">
        <v>2</v>
      </c>
      <c r="AD2" s="126">
        <v>3</v>
      </c>
      <c r="AE2" s="123">
        <v>1</v>
      </c>
      <c r="AF2" s="124">
        <f>AE2+1</f>
        <v>2</v>
      </c>
      <c r="AG2" s="124">
        <f t="shared" ref="AG2:AH2" si="5">AF2+1</f>
        <v>3</v>
      </c>
      <c r="AH2" s="142">
        <f t="shared" si="5"/>
        <v>4</v>
      </c>
      <c r="AI2" s="641">
        <f t="shared" ref="AI2" si="6">AH2+1</f>
        <v>5</v>
      </c>
      <c r="AJ2" s="140">
        <f t="shared" ref="AJ2" si="7">AI2+1</f>
        <v>6</v>
      </c>
      <c r="AK2" s="623">
        <f t="shared" ref="AK2" si="8">AJ2+1</f>
        <v>7</v>
      </c>
      <c r="AL2" s="124">
        <f t="shared" ref="AL2" si="9">AK2+1</f>
        <v>8</v>
      </c>
      <c r="AM2" s="141">
        <f t="shared" ref="AM2" si="10">AL2+1</f>
        <v>9</v>
      </c>
      <c r="AN2" s="133" t="str">
        <f ca="1">IF(AN4="","",AN4)</f>
        <v>+ Eis: 70 mg/Nm³ bij 3 vol% O₂ (art. 4.1303)</v>
      </c>
      <c r="AO2" s="124" t="str">
        <f ca="1">IF(AO4&lt;&gt;"",CONCATENATE(AN2,IF(AN4&lt;&gt;"",CONCATENATE(CHAR(10),"+ "),""),AO4),AN2)</f>
        <v>+ Eis: 70 mg/Nm³ bij 3 vol% O₂ (art. 4.1303)
+ 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 s="124" t="str">
        <f t="shared" ref="AP2:AW2" ca="1" si="11">IF(AP4&lt;&gt;"",CONCATENATE(AO2,IF(AO4&lt;&gt;"",CONCATENATE(CHAR(10),"+ "),""),AP4),AO2)</f>
        <v xml:space="preserve">+ Eis: 70 mg/Nm³ bij 3 vol% O₂ (art. 4.1303)
+ 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v>
      </c>
      <c r="AQ2" s="124" t="str">
        <f t="shared" ca="1" si="11"/>
        <v>+ Eis: 70 mg/Nm³ bij 3 vol% O₂ (art. 4.1303)
+ 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v>
      </c>
      <c r="AR2" s="124" t="str">
        <f t="shared" ca="1" si="11"/>
        <v xml:space="preserve">+ Eis: 70 mg/Nm³ bij 3 vol% O₂ (art. 4.1303)
+ 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S2" s="124" t="str">
        <f t="shared" ca="1" si="11"/>
        <v xml:space="preserve">+ Eis: 70 mg/Nm³ bij 3 vol% O₂ (art. 4.1303)
+ 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T2" s="124" t="str">
        <f t="shared" ca="1" si="11"/>
        <v xml:space="preserve">+ Eis: 70 mg/Nm³ bij 3 vol% O₂ (art. 4.1303)
+ 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U2" s="125" t="str">
        <f t="shared" ca="1" si="11"/>
        <v xml:space="preserve">+ Eis: 70 mg/Nm³ bij 3 vol% O₂ (art. 4.1303)
+ 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V2" s="125" t="str">
        <f t="shared" ca="1" si="11"/>
        <v xml:space="preserve">+ Eis: 70 mg/Nm³ bij 3 vol% O₂ (art. 4.1303)
+ 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W2" s="125" t="str">
        <f t="shared" ca="1" si="11"/>
        <v xml:space="preserve">+ Eis: 70 mg/Nm³ bij 3 vol% O₂ (art. 4.1303)
+ 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NOx</v>
      </c>
      <c r="AG3" s="129" t="s">
        <v>165</v>
      </c>
      <c r="AH3" s="633" t="s">
        <v>356</v>
      </c>
      <c r="AI3" s="642" t="s">
        <v>358</v>
      </c>
      <c r="AJ3" s="282" t="s">
        <v>359</v>
      </c>
      <c r="AK3" s="624" t="s">
        <v>251</v>
      </c>
      <c r="AL3" s="130" t="s">
        <v>183</v>
      </c>
      <c r="AM3" s="652" t="s">
        <v>209</v>
      </c>
      <c r="AN3" s="850" t="s">
        <v>534</v>
      </c>
      <c r="AO3" s="127"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12">IF(AND(OR($S4="",MW&gt;=$S4),OR($T4="",$T4&gt;MW)),1,0)</f>
        <v>1</v>
      </c>
      <c r="G4" s="243"/>
      <c r="H4" s="244"/>
      <c r="I4" s="245"/>
      <c r="J4" s="243"/>
      <c r="K4" s="245"/>
      <c r="L4" s="290"/>
      <c r="M4" s="248">
        <f t="shared" ref="M4" ca="1" si="13">IF(AND(ParBAL1&lt;&gt;"",ParBAL1=P4),1,0)</f>
        <v>0</v>
      </c>
      <c r="N4" s="290"/>
      <c r="O4" s="249">
        <f t="shared" ref="O4" ca="1" si="14">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IF(AND(AF5="",AF6=""),"",CONCATENATE(ROUND((100-IF(AF6="",0,ABRAND2))/100*IF(AF5="",0,AF5*(21-AG4)/(21-AG5))+IF(AF5="",100,ABRAND2)/100*IF(AF6="",0,AF6*(21-AG4)/(21-AG6)),0)," ",IF(A2="","",A2)," bij ",AG4," vol% O₂"))</f>
        <v>70 mg/Nm³ bij 3 vol% O₂</v>
      </c>
      <c r="AG4" s="208">
        <f ca="1">IF(AG5="",AG6,IF(AG6="",AG5,IF(AND(AG5&lt;&gt;11,AG6&lt;&gt;11),AG5,IF(SUM(AG5:AG6)=26,3,MIN(AG5,AG6)))))</f>
        <v>3</v>
      </c>
      <c r="AH4" s="634" t="str">
        <f ca="1">IF($C$6=0,AH5,IF($B$5=0,AH6,IF($B$5&lt;$C$6,AH5,AH6)))</f>
        <v/>
      </c>
      <c r="AI4" s="660"/>
      <c r="AJ4" s="208"/>
      <c r="AK4" s="697"/>
      <c r="AL4" s="697"/>
      <c r="AM4" s="634" t="str">
        <f ca="1">IF($C$6=0,AM5,IF($B$5=0,AM6,IF($B$5&lt;$C$6,AM5,AM6)))</f>
        <v/>
      </c>
      <c r="AN4" s="830"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Eis: 70 mg/Nm³ bij 3 vol% O₂ (art. 4.1303)</v>
      </c>
      <c r="AO4" s="849" t="str">
        <f t="shared" ref="AO4:AR4" ca="1" si="15">IF($C$6=0,AO5,IF($B$5=0,AO6,IF($B$5&lt;$C$6,AO5,AO6)))</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 s="210" t="str">
        <f t="shared" ca="1" si="15"/>
        <v xml:space="preserve">Een periodieke meting bestaat uit drie deelmetingen van 15-30 minuten. De metingen mogen worden uitgevoerd door een geaccrediteerd laboratorium volgens NEN-EN 14792 of door een SCIOS gecertificeerd bedrijf volgens scope 6 (art. 4.1312). </v>
      </c>
      <c r="AQ4" s="210" t="str">
        <f t="shared" ca="1" si="15"/>
        <v>De aangetoonde meetonzekerheid mag niet groter zijn dan 20% van de emissie-eis (art. 4.1312 en art. 4.1319).</v>
      </c>
      <c r="AR4" s="211" t="str">
        <f t="shared" ca="1" si="15"/>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 s="210" t="str">
        <f t="shared" ref="AS4:AT4" ca="1" si="16">IF($C$6=0,AS5,IF($B$5=0,AS6,IF($B$5&lt;$C$6,AS5,AS6)))</f>
        <v/>
      </c>
      <c r="AT4" s="210" t="str">
        <f t="shared" ca="1" si="16"/>
        <v/>
      </c>
      <c r="AU4" s="212"/>
      <c r="AV4" s="212"/>
      <c r="AW4" s="212"/>
      <c r="AX4" s="213" t="str">
        <f ca="1">AW2</f>
        <v xml:space="preserve">+ Eis: 70 mg/Nm³ bij 3 vol% O₂ (art. 4.1303)
+ 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row>
    <row r="5" spans="1:50" x14ac:dyDescent="0.2">
      <c r="A5" s="181" t="s">
        <v>29</v>
      </c>
      <c r="B5" s="192">
        <f ca="1">IF(Geldig,MAX(B8:B94),0)</f>
        <v>42</v>
      </c>
      <c r="C5" s="195"/>
      <c r="D5" s="192">
        <f t="shared" ref="D5:AF5" ca="1" si="17">IF($B$5=0,"",IF(INDEX(D$1:D$94,$B$5)="","",INDEX(D$1:D$94,$B$5)))</f>
        <v>1</v>
      </c>
      <c r="E5" s="193">
        <f t="shared" ca="1" si="17"/>
        <v>1</v>
      </c>
      <c r="F5" s="193">
        <f t="shared" ca="1" si="17"/>
        <v>1</v>
      </c>
      <c r="G5" s="193">
        <f t="shared" ca="1" si="17"/>
        <v>1</v>
      </c>
      <c r="H5" s="193" t="str">
        <f t="shared" ca="1" si="17"/>
        <v/>
      </c>
      <c r="I5" s="194" t="str">
        <f t="shared" ca="1" si="17"/>
        <v/>
      </c>
      <c r="J5" s="193" t="str">
        <f t="shared" ca="1" si="17"/>
        <v/>
      </c>
      <c r="K5" s="194" t="str">
        <f t="shared" ca="1" si="17"/>
        <v/>
      </c>
      <c r="L5" s="193">
        <f t="shared" ca="1" si="17"/>
        <v>1</v>
      </c>
      <c r="M5" s="194">
        <f t="shared" ca="1" si="17"/>
        <v>1</v>
      </c>
      <c r="N5" s="194">
        <f t="shared" ca="1" si="17"/>
        <v>0</v>
      </c>
      <c r="O5" s="195">
        <f t="shared" ca="1" si="17"/>
        <v>0</v>
      </c>
      <c r="P5" s="187" t="str">
        <f t="shared" ca="1" si="17"/>
        <v>4.126</v>
      </c>
      <c r="Q5" s="214" t="str">
        <f t="shared" ca="1" si="17"/>
        <v>ketel</v>
      </c>
      <c r="R5" s="214" t="str">
        <f t="shared" ca="1" si="17"/>
        <v>aardgas</v>
      </c>
      <c r="S5" s="214">
        <f t="shared" ca="1" si="17"/>
        <v>0.40010000000000001</v>
      </c>
      <c r="T5" s="214" t="str">
        <f t="shared" ca="1" si="17"/>
        <v/>
      </c>
      <c r="U5" s="214" t="str">
        <f t="shared" ca="1" si="17"/>
        <v/>
      </c>
      <c r="V5" s="215" t="str">
        <f t="shared" ca="1" si="17"/>
        <v/>
      </c>
      <c r="W5" s="215" t="str">
        <f t="shared" ca="1" si="17"/>
        <v/>
      </c>
      <c r="X5" s="215" t="str">
        <f t="shared" ca="1" si="17"/>
        <v/>
      </c>
      <c r="Y5" s="216" t="str">
        <f t="shared" ca="1" si="17"/>
        <v/>
      </c>
      <c r="Z5" s="217" t="str">
        <f t="shared" ca="1" si="17"/>
        <v/>
      </c>
      <c r="AA5" s="218" t="str">
        <f t="shared" ca="1" si="17"/>
        <v/>
      </c>
      <c r="AB5" s="217" t="str">
        <f t="shared" ca="1" si="17"/>
        <v/>
      </c>
      <c r="AC5" s="219" t="str">
        <f t="shared" ca="1" si="17"/>
        <v/>
      </c>
      <c r="AD5" s="220" t="str">
        <f t="shared" ca="1" si="17"/>
        <v/>
      </c>
      <c r="AE5" s="221" t="str">
        <f t="shared" ca="1" si="17"/>
        <v>4.1303</v>
      </c>
      <c r="AF5" s="222" t="str">
        <f t="shared" ca="1" si="17"/>
        <v>70</v>
      </c>
      <c r="AG5" s="223">
        <f ca="1">IF($B$5=0,"",IF(INDEX(AG$1:AG$94,$B$5)="",O2BRAND1,INDEX(AG$1:AG$94,$B$5)))</f>
        <v>3</v>
      </c>
      <c r="AH5" s="225" t="str">
        <f ca="1">IF($B$5=0,"",IF(INDEX(AH$1:AH$94,$B$5)="","",INDEX(AH$1:AH$94,$B$5)))</f>
        <v/>
      </c>
      <c r="AI5" s="661" t="str">
        <f ca="1">IF($B$5=0,"",IF(INDEX(AI$1:AI$94,$B$5)="","",INDEX(AI$1:AI$94,$B$5)))</f>
        <v/>
      </c>
      <c r="AJ5" s="218" t="str">
        <f ca="1">IF($B$5=0,"",IF(INDEX(AJ$1:AJ$94,$B$5)="","",INDEX(AJ$1:AJ$94,$B$5)))</f>
        <v/>
      </c>
      <c r="AK5" s="651" t="str">
        <f ca="1">IF($B$5=0,"",IF(INDEX(AK$1:AK$94,$B$5)="","",IF(AND(OR($AI5="",INGVAN="",$AI5&lt;=INGVAN),OR($AI5="",INGTOT="",$AI5&lt;=INGTOT),OR($AJ5="",INGVAN="",$AJ5&gt;=INGVAN),OR($AJ5="",INGTOT="",$AJ5&gt;=INGTOT)),INDEX(AK$1:AK$94,$B$5),"")))</f>
        <v/>
      </c>
      <c r="AL5" s="223" t="str">
        <f ca="1">IF($B$5=0,"",IF(INDEX(AL$1:AL$94,$B$5)="","",IF(AND(OR($AI5="",INGVAN="",$AI5&lt;=INGVAN),OR($AI5="",INGTOT="",$AI5&lt;=INGTOT),OR($AJ5="",INGVAN="",$AJ5&gt;=INGVAN),OR($AJ5="",INGTOT="",$AJ5&gt;=INGTOT)),INDEX(AL$1:AL$94,$B$5),"")))</f>
        <v/>
      </c>
      <c r="AM5" s="224" t="str">
        <f ca="1">IF($B$5=0,"",IF(INDEX(AM$1:AM$94,$B$5)="","",IF(AND(OR($AI5="",INGVAN="",$AI5&lt;=INGVAN),OR($AI5="",INGTOT="",$AI5&lt;=INGTOT),OR($AJ5="",INGVAN="",$AJ5&gt;=INGVAN),OR($AJ5="",INGTOT="",$AJ5&gt;=INGTOT)),INDEX(AM$1:AM$94,$B$5),"")))</f>
        <v/>
      </c>
      <c r="AN5" s="831"/>
      <c r="AO5" s="227" t="str">
        <f t="shared" ref="AO5:AW5" ca="1" si="18">IF($B$5=0,"",IF(INDEX(AO$1:AO$94,$B$5)="","",INDEX(AO$1:AO$94,$B$5)))</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 s="227" t="str">
        <f t="shared" ca="1" si="18"/>
        <v xml:space="preserve">Een periodieke meting bestaat uit drie deelmetingen van 15-30 minuten. De metingen mogen worden uitgevoerd door een geaccrediteerd laboratorium volgens NEN-EN 14792 of door een SCIOS gecertificeerd bedrijf volgens scope 6 (art. 4.1312). </v>
      </c>
      <c r="AQ5" s="227" t="str">
        <f t="shared" ca="1" si="18"/>
        <v>De aangetoonde meetonzekerheid mag niet groter zijn dan 20% van de emissie-eis (art. 4.1312 en art. 4.1319).</v>
      </c>
      <c r="AR5" s="227" t="str">
        <f t="shared" ca="1" si="1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 s="227" t="str">
        <f t="shared" ca="1" si="18"/>
        <v/>
      </c>
      <c r="AT5" s="227" t="str">
        <f t="shared" ca="1" si="18"/>
        <v/>
      </c>
      <c r="AU5" s="227" t="str">
        <f t="shared" ca="1" si="18"/>
        <v/>
      </c>
      <c r="AV5" s="227" t="str">
        <f t="shared" ca="1" si="18"/>
        <v/>
      </c>
      <c r="AW5" s="227" t="str">
        <f t="shared" ca="1" si="18"/>
        <v/>
      </c>
      <c r="AX5" s="228"/>
    </row>
    <row r="6" spans="1:50" ht="12" thickBot="1" x14ac:dyDescent="0.25">
      <c r="A6" s="182" t="s">
        <v>30</v>
      </c>
      <c r="B6" s="190"/>
      <c r="C6" s="191">
        <f ca="1">MAX(C8:C94)</f>
        <v>0</v>
      </c>
      <c r="D6" s="196" t="str">
        <f t="shared" ref="D6:AF6" ca="1" si="19">IF($C$6=0,"",IF(INDEX(D$1:D$94,$C$6)="","",INDEX(D$1:D$94,$C$6)))</f>
        <v/>
      </c>
      <c r="E6" s="196" t="str">
        <f t="shared" ca="1" si="19"/>
        <v/>
      </c>
      <c r="F6" s="196" t="str">
        <f t="shared" ca="1" si="19"/>
        <v/>
      </c>
      <c r="G6" s="196" t="str">
        <f t="shared" ca="1" si="19"/>
        <v/>
      </c>
      <c r="H6" s="196" t="str">
        <f t="shared" ca="1" si="19"/>
        <v/>
      </c>
      <c r="I6" s="197" t="str">
        <f t="shared" ca="1" si="19"/>
        <v/>
      </c>
      <c r="J6" s="196" t="str">
        <f t="shared" ca="1" si="19"/>
        <v/>
      </c>
      <c r="K6" s="197" t="str">
        <f t="shared" ca="1" si="19"/>
        <v/>
      </c>
      <c r="L6" s="196" t="str">
        <f t="shared" ca="1" si="19"/>
        <v/>
      </c>
      <c r="M6" s="197" t="str">
        <f t="shared" ca="1" si="19"/>
        <v/>
      </c>
      <c r="N6" s="197" t="str">
        <f t="shared" ca="1" si="19"/>
        <v/>
      </c>
      <c r="O6" s="197" t="str">
        <f t="shared" ca="1" si="19"/>
        <v/>
      </c>
      <c r="P6" s="229" t="str">
        <f t="shared" ca="1" si="19"/>
        <v/>
      </c>
      <c r="Q6" s="230" t="str">
        <f t="shared" ca="1" si="19"/>
        <v/>
      </c>
      <c r="R6" s="230" t="str">
        <f t="shared" ca="1" si="19"/>
        <v/>
      </c>
      <c r="S6" s="230" t="str">
        <f t="shared" ca="1" si="19"/>
        <v/>
      </c>
      <c r="T6" s="230" t="str">
        <f t="shared" ca="1" si="19"/>
        <v/>
      </c>
      <c r="U6" s="230" t="str">
        <f t="shared" ca="1" si="19"/>
        <v/>
      </c>
      <c r="V6" s="231" t="str">
        <f t="shared" ca="1" si="19"/>
        <v/>
      </c>
      <c r="W6" s="231" t="str">
        <f t="shared" ca="1" si="19"/>
        <v/>
      </c>
      <c r="X6" s="231" t="str">
        <f t="shared" ca="1" si="19"/>
        <v/>
      </c>
      <c r="Y6" s="232" t="str">
        <f t="shared" ca="1" si="19"/>
        <v/>
      </c>
      <c r="Z6" s="233" t="str">
        <f t="shared" ca="1" si="19"/>
        <v/>
      </c>
      <c r="AA6" s="234" t="str">
        <f t="shared" ca="1" si="19"/>
        <v/>
      </c>
      <c r="AB6" s="233" t="str">
        <f t="shared" ca="1" si="19"/>
        <v/>
      </c>
      <c r="AC6" s="235" t="str">
        <f t="shared" ca="1" si="19"/>
        <v/>
      </c>
      <c r="AD6" s="236" t="str">
        <f t="shared" ca="1" si="19"/>
        <v/>
      </c>
      <c r="AE6" s="237" t="str">
        <f t="shared" ca="1" si="19"/>
        <v/>
      </c>
      <c r="AF6" s="196" t="str">
        <f t="shared" ca="1" si="19"/>
        <v/>
      </c>
      <c r="AG6" s="238" t="str">
        <f ca="1">IF($C$6=0,"",IF(INDEX(AG$1:AG$94,$C$6)="",O2BRAND2,INDEX(AG$1:AG$94,$C$6)))</f>
        <v/>
      </c>
      <c r="AH6" s="239" t="str">
        <f ca="1">IF($C$6=0,"",IF(INDEX(AH$1:AH$94,$C$6)="","",INDEX(AH$1:AH$94,$C$6)))</f>
        <v/>
      </c>
      <c r="AI6" s="662" t="str">
        <f ca="1">IF($C$6=0,"",IF(INDEX(AI$1:AI$94,$C$6)="","",INDEX(AI$1:AI$94,$C$6)))</f>
        <v/>
      </c>
      <c r="AJ6" s="234" t="str">
        <f ca="1">IF($C$6=0,"",IF(INDEX(AJ$1:AJ$94,$C$6)="","",INDEX(AJ$1:AJ$94,$C$6)))</f>
        <v/>
      </c>
      <c r="AK6" s="672" t="str">
        <f ca="1">IF($C$6=0,"",IF(INDEX(AK$1:AK$94,$C$6)="","",IF(AND(OR($AI6="",INGVAN="",$AI6&lt;=INGVAN),OR($AI6="",INGTOT="",$AI6&lt;=INGTOT),OR($AJ6="",INGVAN="",$AJ6&gt;=INGVAN),OR($AJ6="",INGTOT="",$AJ6&gt;=INGTOT)),INDEX(AK$1:AK$94,$C$6),"")))</f>
        <v/>
      </c>
      <c r="AL6" s="238" t="str">
        <f ca="1">IF($C$6=0,"",IF(INDEX(AL$1:AL$94,$C$6)="","",IF(AND(OR($AI6="",INGVAN="",$AI6&lt;=INGVAN),OR($AI6="",INGTOT="",$AI6&lt;=INGTOT),OR($AJ6="",INGVAN="",$AJ6&gt;=INGVAN),OR($AJ6="",INGTOT="",$AJ6&gt;=INGTOT)),INDEX(AL$1:AL$94,$C$6),"")))</f>
        <v/>
      </c>
      <c r="AM6" s="673" t="str">
        <f ca="1">IF($C$6=0,"",IF(INDEX(AM$1:AM$94,$C$6)="","",IF(AND(OR($AI6="",INGVAN="",$AI6&lt;=INGVAN),OR($AI6="",INGTOT="",$AI6&lt;=INGTOT),OR($AJ6="",INGVAN="",$AJ6&gt;=INGVAN),OR($AJ6="",INGTOT="",$AJ6&gt;=INGTOT)),INDEX(AM$1:AM$94,$C$6),"")))</f>
        <v/>
      </c>
      <c r="AN6" s="832"/>
      <c r="AO6" s="241" t="str">
        <f t="shared" ref="AO6:AW6" ca="1" si="20">IF($C$6=0,"",IF(INDEX(AO$1:AO$94,$C$6)="","",INDEX(AO$1:AO$94,$C$6)))</f>
        <v/>
      </c>
      <c r="AP6" s="241" t="str">
        <f t="shared" ca="1" si="20"/>
        <v/>
      </c>
      <c r="AQ6" s="241" t="str">
        <f t="shared" ca="1" si="20"/>
        <v/>
      </c>
      <c r="AR6" s="241" t="str">
        <f t="shared" ca="1" si="20"/>
        <v/>
      </c>
      <c r="AS6" s="241" t="str">
        <f t="shared" ca="1" si="20"/>
        <v/>
      </c>
      <c r="AT6" s="241" t="str">
        <f t="shared" ca="1" si="20"/>
        <v/>
      </c>
      <c r="AU6" s="241" t="str">
        <f t="shared" ca="1" si="20"/>
        <v/>
      </c>
      <c r="AV6" s="241" t="str">
        <f t="shared" ca="1" si="20"/>
        <v/>
      </c>
      <c r="AW6" s="241" t="str">
        <f t="shared" ca="1" si="20"/>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833"/>
      <c r="AO7" s="323" t="s">
        <v>495</v>
      </c>
      <c r="AP7" s="323" t="s">
        <v>363</v>
      </c>
      <c r="AQ7" s="323" t="s">
        <v>132</v>
      </c>
      <c r="AR7" s="323" t="s">
        <v>192</v>
      </c>
      <c r="AS7" s="323" t="str">
        <f ca="1">CONCATENATE(IF(MW&lt;20,"Vanaf 20 MW ","Er "),"geldt naast de vermelde emissie-eis ook een maandgemiddelde eis van 70 mg/Nm3 (art. 4.73 2e lid).")</f>
        <v>Vanaf 20 MW geldt naast de vermelde emissie-eis ook een maandgemiddelde eis van 70 mg/Nm3 (art. 4.73 2e lid).</v>
      </c>
      <c r="AT7" s="320"/>
      <c r="AU7" s="321"/>
      <c r="AV7" s="321"/>
      <c r="AW7" s="321"/>
      <c r="AX7" s="319"/>
    </row>
    <row r="8" spans="1:50" x14ac:dyDescent="0.2">
      <c r="A8" s="295"/>
      <c r="B8" s="339">
        <f t="shared" ref="B8:B13" ca="1" si="21">IF(AND(SUM(D8:K8,L8:M8)=COUNT(D8:K8,L8:M8),COUNT(D8:K8,L8:M8)&gt;0),ROW(B8),0)</f>
        <v>0</v>
      </c>
      <c r="C8" s="249">
        <f t="shared" ref="C8:C13" ca="1" si="22">IF(AND(SUM(D8:K8,N8:O8)=COUNT(D8:K8,N8:O8),COUNT(D8:K8,N8:O8)&gt;0),ROW(B8),0)</f>
        <v>0</v>
      </c>
      <c r="D8" s="246">
        <f ca="1">IF(AND(OR($Z8="",INGVAN="",$Z8&lt;=INGVAN),OR($Z8="",INGTOT="",$Z8&lt;=INGTOT),OR($AA8="",INGVAN="",$AA8&gt;=INGVAN),OR($AA8="",INGTOT="",$AA8&gt;=INGTOT)),1,0)</f>
        <v>1</v>
      </c>
      <c r="E8" s="247">
        <f t="shared" ref="E8:E27" ca="1" si="23">IF(AND(OR($AB8="",Tdatum&gt;=$AB8,AND(AB8&lt;&gt;"",ISNUMBER(FIND("j",LOWER(AD8))))),OR($AC8="",Tdatum&lt;=$AC8)),1,0)</f>
        <v>1</v>
      </c>
      <c r="F8" s="247">
        <f t="shared" ref="F8:F84" ca="1" si="24">IF(AND(OR($S8="",MW&gt;=$S8),OR($T8="",$T8&gt;MW)),1,0)</f>
        <v>1</v>
      </c>
      <c r="G8" s="147">
        <f ca="1">IF(Afvalvernietiging,1,0)</f>
        <v>0</v>
      </c>
      <c r="H8" s="147"/>
      <c r="I8" s="147"/>
      <c r="J8" s="147"/>
      <c r="K8" s="148"/>
      <c r="L8" s="147">
        <f ca="1">IF(OR(TBRAND1=3,AND(G8=1,N8=0)),1,0)</f>
        <v>0</v>
      </c>
      <c r="M8" s="248">
        <f t="shared" ref="M8:M27" ca="1" si="25">IF(AND(ParBAL1&lt;&gt;"",ParBAL1=P8),1,0)</f>
        <v>0</v>
      </c>
      <c r="N8" s="147">
        <f ca="1">IF(TBRAND2=3,1,0)</f>
        <v>0</v>
      </c>
      <c r="O8" s="249">
        <f t="shared" ref="O8:O27" ca="1" si="26">IF(AND(ParBAL2&lt;&gt;"",ParBAL2=P8),1,0)</f>
        <v>0</v>
      </c>
      <c r="P8" s="279" t="s">
        <v>39</v>
      </c>
      <c r="Q8" s="149" t="s">
        <v>48</v>
      </c>
      <c r="R8" s="149" t="s">
        <v>265</v>
      </c>
      <c r="S8" s="149"/>
      <c r="T8" s="149"/>
      <c r="U8" s="150"/>
      <c r="V8" s="150"/>
      <c r="W8" s="150"/>
      <c r="X8" s="150"/>
      <c r="Y8" s="151"/>
      <c r="Z8" s="143"/>
      <c r="AA8" s="144"/>
      <c r="AB8" s="143"/>
      <c r="AC8" s="145"/>
      <c r="AD8" s="146"/>
      <c r="AE8" s="276" t="s">
        <v>121</v>
      </c>
      <c r="AF8" s="152" t="s">
        <v>122</v>
      </c>
      <c r="AG8" s="147"/>
      <c r="AH8" s="636"/>
      <c r="AI8" s="645"/>
      <c r="AJ8" s="269"/>
      <c r="AK8" s="626" t="s">
        <v>123</v>
      </c>
      <c r="AL8" s="147">
        <v>150</v>
      </c>
      <c r="AM8" s="655"/>
      <c r="AN8" s="834"/>
      <c r="AO8" s="325" t="str">
        <f>AO$7</f>
        <v xml:space="preserve">Er geldt een continue meetverplichting (art 4.79). Op basis van het atikel 4.81 3e lid kan een afwijkende meetfrequentie van toepassing zijn. </v>
      </c>
      <c r="AP8" s="325" t="str">
        <f t="shared" ref="AP8:AS13" si="27">AP$7</f>
        <v xml:space="preserve">De kwaliteitsborging van het continue meetsysteem vindt plaats volgen NEN-EN 14181 (art. 4.78). </v>
      </c>
      <c r="AQ8" s="325" t="str">
        <f t="shared" si="27"/>
        <v>De aangetoonde meetonzekerheid mag niet groter zijn dan 20% van de emissie-eis of 14 mg/Nm3 (art. 4.88).</v>
      </c>
      <c r="AR8" s="325"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25" t="str">
        <f t="shared" ca="1" si="27"/>
        <v>Vanaf 20 MW geldt naast de vermelde emissie-eis ook een maandgemiddelde eis van 70 mg/Nm3 (art. 4.73 2e lid).</v>
      </c>
      <c r="AT8" s="149"/>
      <c r="AU8" s="150"/>
      <c r="AV8" s="150"/>
      <c r="AW8" s="150"/>
      <c r="AX8" s="151"/>
    </row>
    <row r="9" spans="1:50" x14ac:dyDescent="0.2">
      <c r="A9" s="295"/>
      <c r="B9" s="339">
        <f t="shared" ca="1" si="21"/>
        <v>0</v>
      </c>
      <c r="C9" s="249">
        <f t="shared" ca="1" si="22"/>
        <v>0</v>
      </c>
      <c r="D9" s="246">
        <f ca="1">IF(AND(OR($Z9="",INGVAN="",$Z9&lt;=INGVAN),OR($Z9="",INGTOT="",$Z9&lt;=INGTOT),OR($AA9="",INGVAN="",$AA9&gt;=INGVAN),OR($AA9="",INGTOT="",$AA9&gt;=INGTOT)),1,0)</f>
        <v>1</v>
      </c>
      <c r="E9" s="247">
        <f t="shared" ca="1" si="23"/>
        <v>1</v>
      </c>
      <c r="F9" s="247">
        <f t="shared" ca="1" si="24"/>
        <v>1</v>
      </c>
      <c r="G9" s="147">
        <f ca="1">IF(EnergieUitAfval,1,0)</f>
        <v>0</v>
      </c>
      <c r="H9" s="147"/>
      <c r="I9" s="147"/>
      <c r="J9" s="147"/>
      <c r="K9" s="148"/>
      <c r="L9" s="147">
        <f ca="1">IF(TBRAND1=3,1,0)</f>
        <v>0</v>
      </c>
      <c r="M9" s="248">
        <f t="shared" ca="1" si="25"/>
        <v>0</v>
      </c>
      <c r="N9" s="147">
        <f ca="1">IF(TBRAND2=3,1,0)</f>
        <v>0</v>
      </c>
      <c r="O9" s="249">
        <f t="shared" ca="1" si="26"/>
        <v>0</v>
      </c>
      <c r="P9" s="279" t="s">
        <v>39</v>
      </c>
      <c r="Q9" s="149" t="s">
        <v>266</v>
      </c>
      <c r="R9" s="149" t="s">
        <v>46</v>
      </c>
      <c r="S9" s="149"/>
      <c r="T9" s="149"/>
      <c r="U9" s="150"/>
      <c r="V9" s="150"/>
      <c r="W9" s="150"/>
      <c r="X9" s="150"/>
      <c r="Y9" s="151"/>
      <c r="Z9" s="143"/>
      <c r="AA9" s="144"/>
      <c r="AB9" s="143"/>
      <c r="AC9" s="145"/>
      <c r="AD9" s="146"/>
      <c r="AE9" s="276" t="s">
        <v>121</v>
      </c>
      <c r="AF9" s="152" t="s">
        <v>122</v>
      </c>
      <c r="AG9" s="147"/>
      <c r="AH9" s="636"/>
      <c r="AI9" s="645"/>
      <c r="AJ9" s="269"/>
      <c r="AK9" s="626" t="s">
        <v>123</v>
      </c>
      <c r="AL9" s="147">
        <v>150</v>
      </c>
      <c r="AM9" s="655"/>
      <c r="AN9" s="834"/>
      <c r="AO9" s="325" t="str">
        <f t="shared" ref="AO9:AO13" si="28">AO$7</f>
        <v xml:space="preserve">Er geldt een continue meetverplichting (art 4.79). Op basis van het atikel 4.81 3e lid kan een afwijkende meetfrequentie van toepassing zijn. </v>
      </c>
      <c r="AP9" s="325" t="str">
        <f t="shared" si="27"/>
        <v xml:space="preserve">De kwaliteitsborging van het continue meetsysteem vindt plaats volgen NEN-EN 14181 (art. 4.78). </v>
      </c>
      <c r="AQ9" s="325" t="str">
        <f t="shared" si="27"/>
        <v>De aangetoonde meetonzekerheid mag niet groter zijn dan 20% van de emissie-eis of 14 mg/Nm3 (art. 4.88).</v>
      </c>
      <c r="AR9" s="325" t="s">
        <v>451</v>
      </c>
      <c r="AS9" s="325"/>
      <c r="AT9" s="155"/>
      <c r="AU9" s="157"/>
      <c r="AV9" s="157"/>
      <c r="AW9" s="157"/>
      <c r="AX9" s="158"/>
    </row>
    <row r="10" spans="1:50" x14ac:dyDescent="0.2">
      <c r="A10" s="295"/>
      <c r="B10" s="339">
        <f t="shared" ca="1" si="21"/>
        <v>0</v>
      </c>
      <c r="C10" s="249">
        <f t="shared" ca="1" si="22"/>
        <v>0</v>
      </c>
      <c r="D10" s="246">
        <f ca="1">IF(AND(OR($Z10="",INGVAN="",$Z10&lt;=INGVAN),OR($Z10="",INGTOT="",$Z10&lt;=INGTOT),OR($AA10="",INGVAN="",$AA10&gt;=INGVAN),OR($AA10="",INGTOT="",$AA10&gt;=INGTOT)),1,0)</f>
        <v>1</v>
      </c>
      <c r="E10" s="247">
        <f t="shared" ca="1" si="23"/>
        <v>1</v>
      </c>
      <c r="F10" s="247">
        <f t="shared" ca="1" si="24"/>
        <v>1</v>
      </c>
      <c r="G10" s="147">
        <f ca="1">IF(SI=17,1,0)</f>
        <v>0</v>
      </c>
      <c r="H10" s="148"/>
      <c r="I10" s="147"/>
      <c r="J10" s="159"/>
      <c r="K10" s="148"/>
      <c r="L10" s="147">
        <f ca="1">IF(TBRAND1=3,1,0)</f>
        <v>0</v>
      </c>
      <c r="M10" s="248">
        <f t="shared" ca="1" si="25"/>
        <v>0</v>
      </c>
      <c r="N10" s="147">
        <f ca="1">IF(TBRAND2=3,1,0)</f>
        <v>0</v>
      </c>
      <c r="O10" s="249">
        <f t="shared" ca="1" si="26"/>
        <v>0</v>
      </c>
      <c r="P10" s="279" t="s">
        <v>39</v>
      </c>
      <c r="Q10" s="160" t="s">
        <v>128</v>
      </c>
      <c r="R10" s="149"/>
      <c r="S10" s="149"/>
      <c r="T10" s="149"/>
      <c r="U10" s="150"/>
      <c r="V10" s="150"/>
      <c r="W10" s="150"/>
      <c r="X10" s="150"/>
      <c r="Y10" s="151"/>
      <c r="Z10" s="143"/>
      <c r="AA10" s="144"/>
      <c r="AB10" s="143"/>
      <c r="AC10" s="145"/>
      <c r="AD10" s="146"/>
      <c r="AE10" s="276" t="s">
        <v>130</v>
      </c>
      <c r="AF10" s="152" t="s">
        <v>129</v>
      </c>
      <c r="AG10" s="147"/>
      <c r="AH10" s="636"/>
      <c r="AI10" s="645"/>
      <c r="AJ10" s="269"/>
      <c r="AK10" s="626"/>
      <c r="AL10" s="147"/>
      <c r="AM10" s="655"/>
      <c r="AN10" s="834"/>
      <c r="AO10" s="325" t="str">
        <f t="shared" si="28"/>
        <v xml:space="preserve">Er geldt een continue meetverplichting (art 4.79). Op basis van het atikel 4.81 3e lid kan een afwijkende meetfrequentie van toepassing zijn. </v>
      </c>
      <c r="AP10" s="325" t="str">
        <f t="shared" si="27"/>
        <v xml:space="preserve">De kwaliteitsborging van het continue meetsysteem vindt plaats volgen NEN-EN 14181 (art. 4.78). </v>
      </c>
      <c r="AQ10" s="325" t="str">
        <f t="shared" si="27"/>
        <v>De aangetoonde meetonzekerheid mag niet groter zijn dan 20% van de emissie-eis of 14 mg/Nm3 (art. 4.88).</v>
      </c>
      <c r="AR10" s="325"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25"/>
      <c r="AT10" s="155"/>
      <c r="AU10" s="157"/>
      <c r="AV10" s="157"/>
      <c r="AW10" s="157"/>
      <c r="AX10" s="151"/>
    </row>
    <row r="11" spans="1:50" x14ac:dyDescent="0.2">
      <c r="A11" s="295"/>
      <c r="B11" s="340"/>
      <c r="C11" s="341"/>
      <c r="D11" s="326"/>
      <c r="E11" s="46"/>
      <c r="F11" s="46"/>
      <c r="G11" s="147"/>
      <c r="H11" s="147"/>
      <c r="I11" s="148"/>
      <c r="J11" s="147"/>
      <c r="K11" s="148"/>
      <c r="L11" s="147"/>
      <c r="M11" s="56"/>
      <c r="N11" s="147"/>
      <c r="O11" s="59"/>
      <c r="P11" s="279"/>
      <c r="Q11" s="160"/>
      <c r="R11" s="149"/>
      <c r="S11" s="149"/>
      <c r="T11" s="149"/>
      <c r="U11" s="150"/>
      <c r="V11" s="150"/>
      <c r="W11" s="150"/>
      <c r="X11" s="150"/>
      <c r="Y11" s="151"/>
      <c r="Z11" s="143"/>
      <c r="AA11" s="144"/>
      <c r="AB11" s="143"/>
      <c r="AC11" s="145"/>
      <c r="AD11" s="146"/>
      <c r="AE11" s="276"/>
      <c r="AF11" s="152"/>
      <c r="AG11" s="147"/>
      <c r="AH11" s="636"/>
      <c r="AI11" s="645"/>
      <c r="AJ11" s="269"/>
      <c r="AK11" s="626"/>
      <c r="AL11" s="147"/>
      <c r="AM11" s="655"/>
      <c r="AN11" s="835"/>
      <c r="AO11" s="155"/>
      <c r="AP11" s="155"/>
      <c r="AQ11" s="155"/>
      <c r="AR11" s="155"/>
      <c r="AS11" s="149"/>
      <c r="AT11" s="155"/>
      <c r="AU11" s="157"/>
      <c r="AV11" s="157"/>
      <c r="AW11" s="157"/>
      <c r="AX11" s="151"/>
    </row>
    <row r="12" spans="1:50" x14ac:dyDescent="0.2">
      <c r="A12" s="363" t="s">
        <v>337</v>
      </c>
      <c r="B12" s="364"/>
      <c r="C12" s="365"/>
      <c r="D12" s="366"/>
      <c r="E12" s="367"/>
      <c r="F12" s="367"/>
      <c r="G12" s="368"/>
      <c r="H12" s="368"/>
      <c r="I12" s="369"/>
      <c r="J12" s="368"/>
      <c r="K12" s="369"/>
      <c r="L12" s="368"/>
      <c r="M12" s="370"/>
      <c r="N12" s="368"/>
      <c r="O12" s="371"/>
      <c r="P12" s="372"/>
      <c r="Q12" s="373"/>
      <c r="R12" s="374"/>
      <c r="S12" s="374"/>
      <c r="T12" s="374"/>
      <c r="U12" s="375"/>
      <c r="V12" s="375"/>
      <c r="W12" s="375"/>
      <c r="X12" s="375"/>
      <c r="Y12" s="376"/>
      <c r="Z12" s="377"/>
      <c r="AA12" s="378"/>
      <c r="AB12" s="377"/>
      <c r="AC12" s="379"/>
      <c r="AD12" s="380"/>
      <c r="AE12" s="381"/>
      <c r="AF12" s="382"/>
      <c r="AG12" s="368"/>
      <c r="AH12" s="637"/>
      <c r="AI12" s="646"/>
      <c r="AJ12" s="383"/>
      <c r="AK12" s="627"/>
      <c r="AL12" s="368"/>
      <c r="AM12" s="656"/>
      <c r="AN12" s="836"/>
      <c r="AO12" s="346" t="s">
        <v>495</v>
      </c>
      <c r="AP12" s="346" t="s">
        <v>363</v>
      </c>
      <c r="AQ12" s="346" t="s">
        <v>132</v>
      </c>
      <c r="AR12" s="346" t="s">
        <v>192</v>
      </c>
      <c r="AS12" s="346" t="str">
        <f ca="1">CONCATENATE(IF(MW&lt;20,"Vanaf 20 MW ","Er "),"geldt naast de vermelde emissie-eis ook een maandgemiddelde eis van 70 mg/Nm3 (art. 4.73 2e lid).")</f>
        <v>Vanaf 20 MW geldt naast de vermelde emissie-eis ook een maandgemiddelde eis van 70 mg/Nm3 (art. 4.73 2e lid).</v>
      </c>
      <c r="AT12" s="336"/>
      <c r="AU12" s="337"/>
      <c r="AV12" s="337"/>
      <c r="AW12" s="337"/>
      <c r="AX12" s="335"/>
    </row>
    <row r="13" spans="1:50" x14ac:dyDescent="0.2">
      <c r="A13" s="296"/>
      <c r="B13" s="339">
        <f t="shared" ca="1" si="21"/>
        <v>0</v>
      </c>
      <c r="C13" s="249">
        <f t="shared" ca="1" si="22"/>
        <v>0</v>
      </c>
      <c r="D13" s="246">
        <f ca="1">IF(AND(OR($Z13="",INGVAN="",$Z13&lt;=INGVAN),OR($Z13="",INGTOT="",$Z13&lt;=INGTOT),OR($AA13="",INGVAN="",$AA13&gt;=INGVAN),OR($AA13="",INGTOT="",$AA13&gt;=INGTOT)),1,0)</f>
        <v>1</v>
      </c>
      <c r="E13" s="247">
        <f t="shared" ca="1" si="23"/>
        <v>0</v>
      </c>
      <c r="F13" s="247">
        <f t="shared" ca="1" si="24"/>
        <v>1</v>
      </c>
      <c r="G13" s="147">
        <f ca="1">IF(AND(SI&lt;&gt;17,OR(ParBAL1="4.4",ParBAL2="4.4")),1,0)</f>
        <v>0</v>
      </c>
      <c r="H13" s="147"/>
      <c r="I13" s="148"/>
      <c r="J13" s="147"/>
      <c r="K13" s="148"/>
      <c r="L13" s="147">
        <f ca="1">IF(OR(TBRAND1=3,AND(G13=1,N13=0)),1,0)</f>
        <v>0</v>
      </c>
      <c r="M13" s="248">
        <f t="shared" ref="M13" ca="1" si="29">IF(AND(ParBAL1&lt;&gt;"",ParBAL1=P13),1,0)</f>
        <v>0</v>
      </c>
      <c r="N13" s="147">
        <f ca="1">IF(TBRAND2=3,1,0)</f>
        <v>0</v>
      </c>
      <c r="O13" s="249">
        <f t="shared" ref="O13" ca="1" si="30">IF(AND(ParBAL2&lt;&gt;"",ParBAL2=P13),1,0)</f>
        <v>0</v>
      </c>
      <c r="P13" s="291" t="s">
        <v>39</v>
      </c>
      <c r="Q13" s="160" t="s">
        <v>267</v>
      </c>
      <c r="R13" s="149"/>
      <c r="S13" s="149"/>
      <c r="T13" s="149"/>
      <c r="U13" s="150"/>
      <c r="V13" s="150"/>
      <c r="W13" s="150"/>
      <c r="X13" s="150"/>
      <c r="Y13" s="151"/>
      <c r="Z13" s="143"/>
      <c r="AA13" s="144">
        <f>IWTBAL-1</f>
        <v>45291</v>
      </c>
      <c r="AB13" s="143"/>
      <c r="AC13" s="145">
        <v>45241</v>
      </c>
      <c r="AD13" s="146"/>
      <c r="AE13" s="276" t="s">
        <v>124</v>
      </c>
      <c r="AF13" s="152" t="s">
        <v>125</v>
      </c>
      <c r="AG13" s="147"/>
      <c r="AH13" s="636"/>
      <c r="AI13" s="645"/>
      <c r="AJ13" s="269"/>
      <c r="AK13" s="626"/>
      <c r="AL13" s="147"/>
      <c r="AM13" s="655"/>
      <c r="AN13" s="834"/>
      <c r="AO13" s="325" t="str">
        <f t="shared" si="28"/>
        <v xml:space="preserve">Er geldt een continue meetverplichting (art 4.79). Op basis van het atikel 4.81 3e lid kan een afwijkende meetfrequentie van toepassing zijn. </v>
      </c>
      <c r="AP13" s="325" t="str">
        <f t="shared" si="27"/>
        <v xml:space="preserve">De kwaliteitsborging van het continue meetsysteem vindt plaats volgen NEN-EN 14181 (art. 4.78). </v>
      </c>
      <c r="AQ13" s="325" t="str">
        <f t="shared" si="27"/>
        <v>De aangetoonde meetonzekerheid mag niet groter zijn dan 20% van de emissie-eis of 14 mg/Nm3 (art. 4.88).</v>
      </c>
      <c r="AR13" s="325"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25" t="str">
        <f ca="1">IF(SUM(C8:D8)&lt;&gt;0,AS$7,"")</f>
        <v>Vanaf 20 MW geldt naast de vermelde emissie-eis ook een maandgemiddelde eis van 70 mg/Nm3 (art. 4.73 2e lid).</v>
      </c>
      <c r="AT13" s="155"/>
      <c r="AU13" s="157"/>
      <c r="AV13" s="157"/>
      <c r="AW13" s="157"/>
      <c r="AX13" s="151"/>
    </row>
    <row r="14" spans="1:50" x14ac:dyDescent="0.2">
      <c r="A14" s="584"/>
      <c r="B14" s="585"/>
      <c r="C14" s="586"/>
      <c r="D14" s="587"/>
      <c r="E14" s="588"/>
      <c r="F14" s="588"/>
      <c r="G14" s="589"/>
      <c r="H14" s="589"/>
      <c r="I14" s="590"/>
      <c r="J14" s="589"/>
      <c r="K14" s="590"/>
      <c r="L14" s="589"/>
      <c r="M14" s="591"/>
      <c r="N14" s="589"/>
      <c r="O14" s="592"/>
      <c r="P14" s="593"/>
      <c r="Q14" s="594"/>
      <c r="R14" s="595"/>
      <c r="S14" s="595"/>
      <c r="T14" s="595"/>
      <c r="U14" s="596"/>
      <c r="V14" s="596"/>
      <c r="W14" s="596"/>
      <c r="X14" s="596"/>
      <c r="Y14" s="597"/>
      <c r="Z14" s="598"/>
      <c r="AA14" s="599"/>
      <c r="AB14" s="598"/>
      <c r="AC14" s="600"/>
      <c r="AD14" s="601"/>
      <c r="AE14" s="602"/>
      <c r="AF14" s="603"/>
      <c r="AG14" s="589"/>
      <c r="AH14" s="638"/>
      <c r="AI14" s="647"/>
      <c r="AJ14" s="604"/>
      <c r="AK14" s="628"/>
      <c r="AL14" s="589"/>
      <c r="AM14" s="657"/>
      <c r="AN14" s="837"/>
      <c r="AO14" s="606"/>
      <c r="AP14" s="606"/>
      <c r="AQ14" s="606"/>
      <c r="AR14" s="606"/>
      <c r="AS14" s="595"/>
      <c r="AT14" s="606"/>
      <c r="AU14" s="607"/>
      <c r="AV14" s="607"/>
      <c r="AW14" s="607"/>
      <c r="AX14" s="597"/>
    </row>
    <row r="15" spans="1:50" x14ac:dyDescent="0.2">
      <c r="A15" s="393" t="s">
        <v>294</v>
      </c>
      <c r="B15" s="394"/>
      <c r="C15" s="395"/>
      <c r="D15" s="396"/>
      <c r="E15" s="397"/>
      <c r="F15" s="397"/>
      <c r="G15" s="398"/>
      <c r="H15" s="398"/>
      <c r="I15" s="399"/>
      <c r="J15" s="398"/>
      <c r="K15" s="399"/>
      <c r="L15" s="398"/>
      <c r="M15" s="400"/>
      <c r="N15" s="398"/>
      <c r="O15" s="401"/>
      <c r="P15" s="402"/>
      <c r="Q15" s="403"/>
      <c r="R15" s="404"/>
      <c r="S15" s="404"/>
      <c r="T15" s="404"/>
      <c r="U15" s="405"/>
      <c r="V15" s="405"/>
      <c r="W15" s="405"/>
      <c r="X15" s="405"/>
      <c r="Y15" s="406"/>
      <c r="Z15" s="407"/>
      <c r="AA15" s="408"/>
      <c r="AB15" s="407"/>
      <c r="AC15" s="409"/>
      <c r="AD15" s="410"/>
      <c r="AE15" s="411"/>
      <c r="AF15" s="412"/>
      <c r="AG15" s="398"/>
      <c r="AH15" s="639"/>
      <c r="AI15" s="648"/>
      <c r="AJ15" s="413"/>
      <c r="AK15" s="629"/>
      <c r="AL15" s="398"/>
      <c r="AM15" s="658"/>
      <c r="AN15" s="838"/>
      <c r="AO15" s="333" t="s">
        <v>245</v>
      </c>
      <c r="AP15" s="333" t="s">
        <v>384</v>
      </c>
      <c r="AQ15" s="333" t="s">
        <v>191</v>
      </c>
      <c r="AR15" s="333" t="s">
        <v>355</v>
      </c>
      <c r="AS15" s="333" t="str">
        <f ca="1">IF(MW&lt;100,CONCATENATE("Onder de voorwaarden van art. 4.41 2e lid zijn halfjaarlijkse periodieke metingen door een geaccrediteerd laboratorium volgens NEN-EN 14792 toegestaan (art. 4.40 en 4.48)."," In dat geval voldoet de installatie als alle gevalideerde meetresultaten lager zijn dan de emissie-eis (art. 4.48)."),"")</f>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5" s="330"/>
      <c r="AU15" s="331"/>
      <c r="AV15" s="331"/>
      <c r="AW15" s="331"/>
      <c r="AX15" s="328"/>
    </row>
    <row r="16" spans="1:50" x14ac:dyDescent="0.2">
      <c r="A16" s="295"/>
      <c r="B16" s="339">
        <f t="shared" ref="B16:B27" ca="1" si="31">IF(AND(SUM(D16:K16,L16:M16)=COUNT(D16:K16,L16:M16),COUNT(D16:K16,L16:M16)&gt;0),ROW(B16),0)</f>
        <v>0</v>
      </c>
      <c r="C16" s="249">
        <f t="shared" ref="C16:C27" ca="1" si="32">IF(AND(SUM(D16:K16,N16:O16)=COUNT(D16:K16,N16:O16),COUNT(D16:K16,N16:O16)&gt;0),ROW(B16),0)</f>
        <v>0</v>
      </c>
      <c r="D16" s="246">
        <f t="shared" ref="D16:D27" ca="1" si="33">IF(AND(OR($Z16="",INGVAN="",$Z16&lt;=INGVAN),OR($Z16="",INGTOT="",$Z16&lt;=INGTOT),OR($AA16="",INGVAN="",$AA16&gt;=INGVAN),OR($AA16="",INGTOT="",$AA16&gt;=INGTOT)),1,0)</f>
        <v>1</v>
      </c>
      <c r="E16" s="247">
        <f t="shared" ca="1" si="23"/>
        <v>1</v>
      </c>
      <c r="F16" s="247">
        <f t="shared" ca="1" si="24"/>
        <v>1</v>
      </c>
      <c r="G16" s="147">
        <f ca="1">IF(TSI&lt;3,1,0)</f>
        <v>1</v>
      </c>
      <c r="H16" s="147"/>
      <c r="I16" s="148"/>
      <c r="J16" s="147"/>
      <c r="K16" s="148"/>
      <c r="L16" s="147">
        <f ca="1">IF(FBRAND1="s",1,0)</f>
        <v>0</v>
      </c>
      <c r="M16" s="248">
        <f t="shared" ca="1" si="25"/>
        <v>0</v>
      </c>
      <c r="N16" s="147">
        <f ca="1">IF(FBRAND2="s",1,0)</f>
        <v>0</v>
      </c>
      <c r="O16" s="249">
        <f t="shared" ca="1" si="26"/>
        <v>0</v>
      </c>
      <c r="P16" s="279" t="s">
        <v>40</v>
      </c>
      <c r="Q16" s="160" t="s">
        <v>9</v>
      </c>
      <c r="R16" s="149" t="s">
        <v>171</v>
      </c>
      <c r="S16" s="149"/>
      <c r="T16" s="149"/>
      <c r="U16" s="150"/>
      <c r="V16" s="150"/>
      <c r="W16" s="150"/>
      <c r="X16" s="150"/>
      <c r="Y16" s="151"/>
      <c r="Z16" s="143"/>
      <c r="AA16" s="144"/>
      <c r="AB16" s="143"/>
      <c r="AC16" s="145"/>
      <c r="AD16" s="146"/>
      <c r="AE16" s="276" t="s">
        <v>159</v>
      </c>
      <c r="AF16" s="152" t="s">
        <v>122</v>
      </c>
      <c r="AG16" s="147"/>
      <c r="AH16" s="636"/>
      <c r="AI16" s="645"/>
      <c r="AJ16" s="269"/>
      <c r="AK16" s="626"/>
      <c r="AL16" s="147"/>
      <c r="AM16" s="655"/>
      <c r="AN16" s="834"/>
      <c r="AO16" s="325" t="str">
        <f>AO$15</f>
        <v>Er geldt een continue meetverplichting (art 4.41).</v>
      </c>
      <c r="AP16" s="325" t="str">
        <f t="shared" ref="AP16:AS27" si="34">AP$15</f>
        <v xml:space="preserve">De kwaliteitsborging van het continue meetsysteem vindt plaats volgens NEN-EN 14181 (art. 4.40). </v>
      </c>
      <c r="AQ16" s="325" t="str">
        <f t="shared" si="34"/>
        <v>De aangetoonde meetonzekerheid mag niet groter zijn dan 20% van de emissie-eis (art. 4.48).</v>
      </c>
      <c r="AR16" s="325"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6" s="325"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6" s="149"/>
      <c r="AU16" s="150"/>
      <c r="AV16" s="150"/>
      <c r="AW16" s="150"/>
      <c r="AX16" s="151"/>
    </row>
    <row r="17" spans="1:50" x14ac:dyDescent="0.2">
      <c r="A17" s="295"/>
      <c r="B17" s="339">
        <f t="shared" ca="1" si="31"/>
        <v>0</v>
      </c>
      <c r="C17" s="249">
        <f t="shared" ca="1" si="32"/>
        <v>0</v>
      </c>
      <c r="D17" s="246">
        <f t="shared" ca="1" si="33"/>
        <v>1</v>
      </c>
      <c r="E17" s="247">
        <f t="shared" ca="1" si="23"/>
        <v>1</v>
      </c>
      <c r="F17" s="247">
        <f t="shared" ca="1" si="24"/>
        <v>1</v>
      </c>
      <c r="G17" s="147">
        <f ca="1">IF(SI=3,1,0)</f>
        <v>0</v>
      </c>
      <c r="H17" s="147"/>
      <c r="I17" s="148"/>
      <c r="J17" s="147"/>
      <c r="K17" s="148"/>
      <c r="L17" s="147">
        <f ca="1">IF(FBRAND1="l",1,0)</f>
        <v>0</v>
      </c>
      <c r="M17" s="248">
        <f t="shared" ca="1" si="25"/>
        <v>0</v>
      </c>
      <c r="N17" s="147">
        <f ca="1">IF(FBRAND2="l",1,0)</f>
        <v>0</v>
      </c>
      <c r="O17" s="249">
        <f t="shared" ca="1" si="26"/>
        <v>0</v>
      </c>
      <c r="P17" s="279" t="s">
        <v>40</v>
      </c>
      <c r="Q17" s="160" t="s">
        <v>157</v>
      </c>
      <c r="R17" s="149" t="s">
        <v>158</v>
      </c>
      <c r="S17" s="149"/>
      <c r="T17" s="149"/>
      <c r="U17" s="150"/>
      <c r="V17" s="150"/>
      <c r="W17" s="150"/>
      <c r="X17" s="150"/>
      <c r="Y17" s="151"/>
      <c r="Z17" s="143"/>
      <c r="AA17" s="144"/>
      <c r="AB17" s="143"/>
      <c r="AC17" s="145"/>
      <c r="AD17" s="146"/>
      <c r="AE17" s="276" t="s">
        <v>159</v>
      </c>
      <c r="AF17" s="152" t="s">
        <v>160</v>
      </c>
      <c r="AG17" s="147"/>
      <c r="AH17" s="636"/>
      <c r="AI17" s="645"/>
      <c r="AJ17" s="269"/>
      <c r="AK17" s="626"/>
      <c r="AL17" s="147"/>
      <c r="AM17" s="655"/>
      <c r="AN17" s="839"/>
      <c r="AO17" s="348" t="str">
        <f t="shared" ref="AO17:AO27" si="35">AO$15</f>
        <v>Er geldt een continue meetverplichting (art 4.41).</v>
      </c>
      <c r="AP17" s="325" t="str">
        <f t="shared" si="34"/>
        <v xml:space="preserve">De kwaliteitsborging van het continue meetsysteem vindt plaats volgens NEN-EN 14181 (art. 4.40). </v>
      </c>
      <c r="AQ17" s="325" t="str">
        <f t="shared" si="34"/>
        <v>De aangetoonde meetonzekerheid mag niet groter zijn dan 20% van de emissie-eis (art. 4.48).</v>
      </c>
      <c r="AR17" s="34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7" s="34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7" s="149"/>
      <c r="AU17" s="150"/>
      <c r="AV17" s="150"/>
      <c r="AW17" s="150"/>
      <c r="AX17" s="151"/>
    </row>
    <row r="18" spans="1:50" x14ac:dyDescent="0.2">
      <c r="A18" s="295"/>
      <c r="B18" s="339">
        <f t="shared" ca="1" si="31"/>
        <v>0</v>
      </c>
      <c r="C18" s="249">
        <f t="shared" ca="1" si="32"/>
        <v>0</v>
      </c>
      <c r="D18" s="246">
        <f t="shared" ca="1" si="33"/>
        <v>0</v>
      </c>
      <c r="E18" s="247">
        <f t="shared" ca="1" si="23"/>
        <v>1</v>
      </c>
      <c r="F18" s="247">
        <f t="shared" ca="1" si="24"/>
        <v>1</v>
      </c>
      <c r="G18" s="147">
        <f ca="1">IF(AND(TSI&lt;3,SI&lt;&gt;3),1,0)</f>
        <v>1</v>
      </c>
      <c r="H18" s="147"/>
      <c r="I18" s="148"/>
      <c r="J18" s="147"/>
      <c r="K18" s="148"/>
      <c r="L18" s="147">
        <f ca="1">IF(BRAND1=19,1,0)</f>
        <v>0</v>
      </c>
      <c r="M18" s="248">
        <f t="shared" ca="1" si="25"/>
        <v>0</v>
      </c>
      <c r="N18" s="147">
        <f ca="1">IF(BRAND2=19,1,0)</f>
        <v>0</v>
      </c>
      <c r="O18" s="249">
        <f t="shared" ca="1" si="26"/>
        <v>0</v>
      </c>
      <c r="P18" s="279" t="s">
        <v>40</v>
      </c>
      <c r="Q18" s="149" t="s">
        <v>168</v>
      </c>
      <c r="R18" s="149" t="s">
        <v>170</v>
      </c>
      <c r="S18" s="149"/>
      <c r="T18" s="149"/>
      <c r="U18" s="150"/>
      <c r="V18" s="150"/>
      <c r="W18" s="150"/>
      <c r="X18" s="150"/>
      <c r="Y18" s="151"/>
      <c r="Z18" s="143"/>
      <c r="AA18" s="144">
        <f>IPPCbest</f>
        <v>36463</v>
      </c>
      <c r="AB18" s="143"/>
      <c r="AC18" s="145"/>
      <c r="AD18" s="146"/>
      <c r="AE18" s="276" t="s">
        <v>159</v>
      </c>
      <c r="AF18" s="152" t="s">
        <v>164</v>
      </c>
      <c r="AG18" s="147"/>
      <c r="AH18" s="636"/>
      <c r="AI18" s="645"/>
      <c r="AJ18" s="269"/>
      <c r="AK18" s="626"/>
      <c r="AL18" s="147"/>
      <c r="AM18" s="655"/>
      <c r="AN18" s="839"/>
      <c r="AO18" s="348" t="str">
        <f t="shared" si="35"/>
        <v>Er geldt een continue meetverplichting (art 4.41).</v>
      </c>
      <c r="AP18" s="325" t="str">
        <f t="shared" si="34"/>
        <v xml:space="preserve">De kwaliteitsborging van het continue meetsysteem vindt plaats volgens NEN-EN 14181 (art. 4.40). </v>
      </c>
      <c r="AQ18" s="325" t="str">
        <f t="shared" si="34"/>
        <v>De aangetoonde meetonzekerheid mag niet groter zijn dan 20% van de emissie-eis (art. 4.48).</v>
      </c>
      <c r="AR18" s="325"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8" s="34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8" s="149"/>
      <c r="AU18" s="150"/>
      <c r="AV18" s="150"/>
      <c r="AW18" s="150"/>
      <c r="AX18" s="151"/>
    </row>
    <row r="19" spans="1:50" x14ac:dyDescent="0.2">
      <c r="A19" s="295"/>
      <c r="B19" s="339">
        <f t="shared" ca="1" si="31"/>
        <v>0</v>
      </c>
      <c r="C19" s="249">
        <f t="shared" ca="1" si="32"/>
        <v>0</v>
      </c>
      <c r="D19" s="246">
        <f t="shared" ca="1" si="33"/>
        <v>1</v>
      </c>
      <c r="E19" s="247">
        <f t="shared" ca="1" si="23"/>
        <v>1</v>
      </c>
      <c r="F19" s="247">
        <f t="shared" ca="1" si="24"/>
        <v>0</v>
      </c>
      <c r="G19" s="147">
        <f ca="1">IF(SUM(B17:C18)=0,1,0)</f>
        <v>1</v>
      </c>
      <c r="H19" s="147"/>
      <c r="I19" s="148"/>
      <c r="J19" s="147"/>
      <c r="K19" s="148"/>
      <c r="L19" s="147">
        <f ca="1">IF(FBRAND1="l",1,0)</f>
        <v>0</v>
      </c>
      <c r="M19" s="248">
        <f t="shared" ca="1" si="25"/>
        <v>0</v>
      </c>
      <c r="N19" s="147">
        <f ca="1">IF(FBRAND2="l",1,0)</f>
        <v>0</v>
      </c>
      <c r="O19" s="249">
        <f t="shared" ca="1" si="26"/>
        <v>0</v>
      </c>
      <c r="P19" s="279" t="s">
        <v>40</v>
      </c>
      <c r="Q19" s="149" t="s">
        <v>172</v>
      </c>
      <c r="R19" s="149" t="s">
        <v>173</v>
      </c>
      <c r="S19" s="149">
        <v>50</v>
      </c>
      <c r="T19" s="149">
        <v>100</v>
      </c>
      <c r="U19" s="150"/>
      <c r="V19" s="150"/>
      <c r="W19" s="150"/>
      <c r="X19" s="150"/>
      <c r="Y19" s="151"/>
      <c r="Z19" s="143"/>
      <c r="AA19" s="144"/>
      <c r="AB19" s="143"/>
      <c r="AC19" s="145"/>
      <c r="AD19" s="146"/>
      <c r="AE19" s="276" t="s">
        <v>159</v>
      </c>
      <c r="AF19" s="152" t="s">
        <v>163</v>
      </c>
      <c r="AG19" s="147"/>
      <c r="AH19" s="636"/>
      <c r="AI19" s="645"/>
      <c r="AJ19" s="269"/>
      <c r="AK19" s="626"/>
      <c r="AL19" s="147"/>
      <c r="AM19" s="655"/>
      <c r="AN19" s="834"/>
      <c r="AO19" s="325" t="str">
        <f t="shared" si="35"/>
        <v>Er geldt een continue meetverplichting (art 4.41).</v>
      </c>
      <c r="AP19" s="325" t="str">
        <f t="shared" si="34"/>
        <v xml:space="preserve">De kwaliteitsborging van het continue meetsysteem vindt plaats volgens NEN-EN 14181 (art. 4.40). </v>
      </c>
      <c r="AQ19" s="325" t="str">
        <f t="shared" si="34"/>
        <v>De aangetoonde meetonzekerheid mag niet groter zijn dan 20% van de emissie-eis (art. 4.48).</v>
      </c>
      <c r="AR19" s="325"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9" s="325"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9" s="149"/>
      <c r="AU19" s="150"/>
      <c r="AV19" s="150"/>
      <c r="AW19" s="150"/>
      <c r="AX19" s="151"/>
    </row>
    <row r="20" spans="1:50" x14ac:dyDescent="0.2">
      <c r="A20" s="295"/>
      <c r="B20" s="339">
        <f t="shared" ca="1" si="31"/>
        <v>0</v>
      </c>
      <c r="C20" s="249">
        <f t="shared" ca="1" si="32"/>
        <v>0</v>
      </c>
      <c r="D20" s="246">
        <f t="shared" ca="1" si="33"/>
        <v>1</v>
      </c>
      <c r="E20" s="247">
        <f t="shared" ca="1" si="23"/>
        <v>1</v>
      </c>
      <c r="F20" s="247">
        <f t="shared" ca="1" si="24"/>
        <v>0</v>
      </c>
      <c r="G20" s="147">
        <f ca="1">G19</f>
        <v>1</v>
      </c>
      <c r="H20" s="147"/>
      <c r="I20" s="148"/>
      <c r="J20" s="147"/>
      <c r="K20" s="148"/>
      <c r="L20" s="147">
        <f ca="1">IF(FBRAND1="l",1,0)</f>
        <v>0</v>
      </c>
      <c r="M20" s="248">
        <f t="shared" ca="1" si="25"/>
        <v>0</v>
      </c>
      <c r="N20" s="147">
        <f ca="1">IF(FBRAND2="l",1,0)</f>
        <v>0</v>
      </c>
      <c r="O20" s="249">
        <f t="shared" ca="1" si="26"/>
        <v>0</v>
      </c>
      <c r="P20" s="279" t="s">
        <v>40</v>
      </c>
      <c r="Q20" s="149" t="s">
        <v>172</v>
      </c>
      <c r="R20" s="149" t="s">
        <v>173</v>
      </c>
      <c r="S20" s="149">
        <v>100</v>
      </c>
      <c r="T20" s="149"/>
      <c r="U20" s="150"/>
      <c r="V20" s="150"/>
      <c r="W20" s="150"/>
      <c r="X20" s="150"/>
      <c r="Y20" s="151"/>
      <c r="Z20" s="143"/>
      <c r="AA20" s="144"/>
      <c r="AB20" s="143"/>
      <c r="AC20" s="145"/>
      <c r="AD20" s="146"/>
      <c r="AE20" s="276" t="s">
        <v>159</v>
      </c>
      <c r="AF20" s="152" t="s">
        <v>174</v>
      </c>
      <c r="AG20" s="147"/>
      <c r="AH20" s="636"/>
      <c r="AI20" s="645"/>
      <c r="AJ20" s="269"/>
      <c r="AK20" s="626"/>
      <c r="AL20" s="147"/>
      <c r="AM20" s="655"/>
      <c r="AN20" s="834"/>
      <c r="AO20" s="325" t="str">
        <f t="shared" si="35"/>
        <v>Er geldt een continue meetverplichting (art 4.41).</v>
      </c>
      <c r="AP20" s="325" t="str">
        <f t="shared" si="34"/>
        <v xml:space="preserve">De kwaliteitsborging van het continue meetsysteem vindt plaats volgens NEN-EN 14181 (art. 4.40). </v>
      </c>
      <c r="AQ20" s="325" t="str">
        <f t="shared" si="34"/>
        <v>De aangetoonde meetonzekerheid mag niet groter zijn dan 20% van de emissie-eis (art. 4.48).</v>
      </c>
      <c r="AR20" s="325"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0" s="325"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0" s="149"/>
      <c r="AU20" s="150"/>
      <c r="AV20" s="150"/>
      <c r="AW20" s="150"/>
      <c r="AX20" s="151"/>
    </row>
    <row r="21" spans="1:50" x14ac:dyDescent="0.2">
      <c r="A21" s="295"/>
      <c r="B21" s="339">
        <f t="shared" ca="1" si="31"/>
        <v>0</v>
      </c>
      <c r="C21" s="249">
        <f t="shared" ca="1" si="32"/>
        <v>0</v>
      </c>
      <c r="D21" s="246">
        <f t="shared" ca="1" si="33"/>
        <v>1</v>
      </c>
      <c r="E21" s="247">
        <f t="shared" ca="1" si="23"/>
        <v>1</v>
      </c>
      <c r="F21" s="247">
        <f t="shared" ca="1" si="24"/>
        <v>1</v>
      </c>
      <c r="G21" s="147">
        <f ca="1">IF(SI=3,1,0)</f>
        <v>0</v>
      </c>
      <c r="H21" s="147"/>
      <c r="I21" s="148"/>
      <c r="J21" s="147"/>
      <c r="K21" s="148"/>
      <c r="L21" s="147">
        <f ca="1">IF(FBRAND1="g",1,0)</f>
        <v>1</v>
      </c>
      <c r="M21" s="248">
        <f t="shared" ca="1" si="25"/>
        <v>0</v>
      </c>
      <c r="N21" s="147">
        <f ca="1">IF(FBRAND2="g",1,0)</f>
        <v>0</v>
      </c>
      <c r="O21" s="249">
        <f t="shared" ca="1" si="26"/>
        <v>0</v>
      </c>
      <c r="P21" s="279" t="s">
        <v>40</v>
      </c>
      <c r="Q21" s="149" t="s">
        <v>157</v>
      </c>
      <c r="R21" s="149" t="s">
        <v>178</v>
      </c>
      <c r="S21" s="149"/>
      <c r="T21" s="149"/>
      <c r="U21" s="150"/>
      <c r="V21" s="150"/>
      <c r="W21" s="150"/>
      <c r="X21" s="150"/>
      <c r="Y21" s="151"/>
      <c r="Z21" s="143">
        <v>36463</v>
      </c>
      <c r="AA21" s="144"/>
      <c r="AB21" s="143"/>
      <c r="AC21" s="145"/>
      <c r="AD21" s="146"/>
      <c r="AE21" s="276" t="s">
        <v>159</v>
      </c>
      <c r="AF21" s="152" t="s">
        <v>176</v>
      </c>
      <c r="AG21" s="147"/>
      <c r="AH21" s="636"/>
      <c r="AI21" s="650"/>
      <c r="AJ21" s="663">
        <v>42964</v>
      </c>
      <c r="AK21" s="626" t="s">
        <v>177</v>
      </c>
      <c r="AL21" s="147">
        <v>50</v>
      </c>
      <c r="AM21" s="655"/>
      <c r="AN21" s="834"/>
      <c r="AO21" s="325" t="str">
        <f t="shared" si="35"/>
        <v>Er geldt een continue meetverplichting (art 4.41).</v>
      </c>
      <c r="AP21" s="325" t="str">
        <f t="shared" si="34"/>
        <v xml:space="preserve">De kwaliteitsborging van het continue meetsysteem vindt plaats volgens NEN-EN 14181 (art. 4.40). </v>
      </c>
      <c r="AQ21" s="325" t="str">
        <f t="shared" si="34"/>
        <v>De aangetoonde meetonzekerheid mag niet groter zijn dan 20% van de emissie-eis (art. 4.48).</v>
      </c>
      <c r="AR21" s="325"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1" s="325"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1" s="149"/>
      <c r="AU21" s="150"/>
      <c r="AV21" s="150"/>
      <c r="AW21" s="150"/>
      <c r="AX21" s="158"/>
    </row>
    <row r="22" spans="1:50" x14ac:dyDescent="0.2">
      <c r="A22" s="295"/>
      <c r="B22" s="339">
        <f t="shared" ca="1" si="31"/>
        <v>0</v>
      </c>
      <c r="C22" s="249">
        <f t="shared" ca="1" si="32"/>
        <v>0</v>
      </c>
      <c r="D22" s="246">
        <f t="shared" ca="1" si="33"/>
        <v>0</v>
      </c>
      <c r="E22" s="247">
        <f t="shared" ca="1" si="23"/>
        <v>1</v>
      </c>
      <c r="F22" s="247">
        <f t="shared" ca="1" si="24"/>
        <v>1</v>
      </c>
      <c r="G22" s="147">
        <f ca="1">IF(SI=3,1,0)</f>
        <v>0</v>
      </c>
      <c r="H22" s="147"/>
      <c r="I22" s="148"/>
      <c r="J22" s="147"/>
      <c r="K22" s="148"/>
      <c r="L22" s="147">
        <f ca="1">IF(FBRAND1="g",1,0)</f>
        <v>1</v>
      </c>
      <c r="M22" s="248">
        <f t="shared" ca="1" si="25"/>
        <v>0</v>
      </c>
      <c r="N22" s="147">
        <f ca="1">IF(FBRAND2="g",1,0)</f>
        <v>0</v>
      </c>
      <c r="O22" s="249">
        <f t="shared" ca="1" si="26"/>
        <v>0</v>
      </c>
      <c r="P22" s="279" t="s">
        <v>40</v>
      </c>
      <c r="Q22" s="149" t="s">
        <v>175</v>
      </c>
      <c r="R22" s="149" t="s">
        <v>178</v>
      </c>
      <c r="S22" s="149"/>
      <c r="T22" s="149"/>
      <c r="U22" s="150"/>
      <c r="V22" s="150"/>
      <c r="W22" s="150"/>
      <c r="X22" s="150"/>
      <c r="Y22" s="151"/>
      <c r="Z22" s="143"/>
      <c r="AA22" s="144">
        <f>IPPCbest</f>
        <v>36463</v>
      </c>
      <c r="AB22" s="143"/>
      <c r="AC22" s="145"/>
      <c r="AD22" s="146"/>
      <c r="AE22" s="276" t="s">
        <v>159</v>
      </c>
      <c r="AF22" s="152" t="s">
        <v>161</v>
      </c>
      <c r="AG22" s="147"/>
      <c r="AH22" s="636"/>
      <c r="AI22" s="645"/>
      <c r="AJ22" s="269"/>
      <c r="AK22" s="626" t="s">
        <v>177</v>
      </c>
      <c r="AL22" s="147">
        <v>75</v>
      </c>
      <c r="AM22" s="655" t="s">
        <v>210</v>
      </c>
      <c r="AN22" s="834"/>
      <c r="AO22" s="325" t="str">
        <f t="shared" si="35"/>
        <v>Er geldt een continue meetverplichting (art 4.41).</v>
      </c>
      <c r="AP22" s="325" t="str">
        <f t="shared" si="34"/>
        <v xml:space="preserve">De kwaliteitsborging van het continue meetsysteem vindt plaats volgens NEN-EN 14181 (art. 4.40). </v>
      </c>
      <c r="AQ22" s="325" t="str">
        <f t="shared" si="34"/>
        <v>De aangetoonde meetonzekerheid mag niet groter zijn dan 20% van de emissie-eis (art. 4.48).</v>
      </c>
      <c r="AR22" s="325"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2" s="325"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2" s="149"/>
      <c r="AU22" s="150"/>
      <c r="AV22" s="150"/>
      <c r="AW22" s="150"/>
      <c r="AX22" s="158"/>
    </row>
    <row r="23" spans="1:50" x14ac:dyDescent="0.2">
      <c r="A23" s="295"/>
      <c r="B23" s="339">
        <f t="shared" ca="1" si="31"/>
        <v>0</v>
      </c>
      <c r="C23" s="249">
        <f t="shared" ca="1" si="32"/>
        <v>0</v>
      </c>
      <c r="D23" s="246">
        <f t="shared" ca="1" si="33"/>
        <v>1</v>
      </c>
      <c r="E23" s="247">
        <f t="shared" ca="1" si="23"/>
        <v>1</v>
      </c>
      <c r="F23" s="247">
        <f t="shared" ca="1" si="24"/>
        <v>1</v>
      </c>
      <c r="G23" s="147">
        <f ca="1">IF(SI=4,1,0)</f>
        <v>0</v>
      </c>
      <c r="H23" s="147"/>
      <c r="I23" s="148"/>
      <c r="J23" s="147"/>
      <c r="K23" s="148"/>
      <c r="L23" s="147">
        <f ca="1">IF(OR(FBRAND1="g",FBRAND1="l"),1,0)</f>
        <v>1</v>
      </c>
      <c r="M23" s="248">
        <f t="shared" ca="1" si="25"/>
        <v>0</v>
      </c>
      <c r="N23" s="147">
        <f ca="1">IF(OR(FBRAND2="g",FBRAND2="l"),1,0)</f>
        <v>0</v>
      </c>
      <c r="O23" s="249">
        <f t="shared" ca="1" si="26"/>
        <v>0</v>
      </c>
      <c r="P23" s="279" t="s">
        <v>40</v>
      </c>
      <c r="Q23" s="149" t="s">
        <v>188</v>
      </c>
      <c r="R23" s="149" t="s">
        <v>178</v>
      </c>
      <c r="S23" s="149"/>
      <c r="T23" s="149"/>
      <c r="U23" s="150"/>
      <c r="V23" s="150"/>
      <c r="W23" s="150"/>
      <c r="X23" s="150"/>
      <c r="Y23" s="151"/>
      <c r="Z23" s="143"/>
      <c r="AA23" s="144"/>
      <c r="AB23" s="143"/>
      <c r="AC23" s="145"/>
      <c r="AD23" s="146"/>
      <c r="AE23" s="276" t="s">
        <v>159</v>
      </c>
      <c r="AF23" s="152" t="s">
        <v>179</v>
      </c>
      <c r="AG23" s="147"/>
      <c r="AH23" s="636"/>
      <c r="AI23" s="645"/>
      <c r="AJ23" s="269"/>
      <c r="AK23" s="626"/>
      <c r="AL23" s="147"/>
      <c r="AM23" s="655"/>
      <c r="AN23" s="834"/>
      <c r="AO23" s="325" t="str">
        <f t="shared" si="35"/>
        <v>Er geldt een continue meetverplichting (art 4.41).</v>
      </c>
      <c r="AP23" s="325" t="str">
        <f t="shared" si="34"/>
        <v xml:space="preserve">De kwaliteitsborging van het continue meetsysteem vindt plaats volgens NEN-EN 14181 (art. 4.40). </v>
      </c>
      <c r="AQ23" s="325" t="str">
        <f t="shared" si="34"/>
        <v>De aangetoonde meetonzekerheid mag niet groter zijn dan 20% van de emissie-eis (art. 4.48).</v>
      </c>
      <c r="AR23" s="325"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3" s="325"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3" s="149"/>
      <c r="AU23" s="150"/>
      <c r="AV23" s="150"/>
      <c r="AW23" s="150"/>
      <c r="AX23" s="158"/>
    </row>
    <row r="24" spans="1:50" x14ac:dyDescent="0.2">
      <c r="A24" s="295"/>
      <c r="B24" s="339">
        <f t="shared" ca="1" si="31"/>
        <v>0</v>
      </c>
      <c r="C24" s="249">
        <f t="shared" ca="1" si="32"/>
        <v>0</v>
      </c>
      <c r="D24" s="246">
        <f t="shared" ca="1" si="33"/>
        <v>1</v>
      </c>
      <c r="E24" s="247">
        <f t="shared" ca="1" si="23"/>
        <v>1</v>
      </c>
      <c r="F24" s="247">
        <f t="shared" ca="1" si="24"/>
        <v>1</v>
      </c>
      <c r="G24" s="147">
        <f ca="1">IF(AND(SI&lt;&gt;3,SI&lt;&gt;4),1,0)</f>
        <v>1</v>
      </c>
      <c r="H24" s="147"/>
      <c r="I24" s="148"/>
      <c r="J24" s="147"/>
      <c r="K24" s="148"/>
      <c r="L24" s="802">
        <f ca="1">IF(BRAND1=1,1,0)</f>
        <v>1</v>
      </c>
      <c r="M24" s="248">
        <f t="shared" ca="1" si="25"/>
        <v>0</v>
      </c>
      <c r="N24" s="802">
        <f ca="1">IF(BRAND2=1,1,0)</f>
        <v>0</v>
      </c>
      <c r="O24" s="249">
        <f t="shared" ca="1" si="26"/>
        <v>0</v>
      </c>
      <c r="P24" s="279" t="s">
        <v>40</v>
      </c>
      <c r="Q24" s="149" t="s">
        <v>172</v>
      </c>
      <c r="R24" s="149" t="s">
        <v>180</v>
      </c>
      <c r="S24" s="149"/>
      <c r="T24" s="149"/>
      <c r="U24" s="150"/>
      <c r="V24" s="150"/>
      <c r="W24" s="150"/>
      <c r="X24" s="150"/>
      <c r="Y24" s="151"/>
      <c r="Z24" s="143">
        <v>36463</v>
      </c>
      <c r="AA24" s="144"/>
      <c r="AB24" s="143"/>
      <c r="AC24" s="145"/>
      <c r="AD24" s="146"/>
      <c r="AE24" s="276" t="s">
        <v>159</v>
      </c>
      <c r="AF24" s="152" t="s">
        <v>127</v>
      </c>
      <c r="AG24" s="147"/>
      <c r="AH24" s="636"/>
      <c r="AI24" s="645"/>
      <c r="AJ24" s="269"/>
      <c r="AK24" s="626"/>
      <c r="AL24" s="147"/>
      <c r="AM24" s="655"/>
      <c r="AN24" s="834"/>
      <c r="AO24" s="325" t="str">
        <f t="shared" si="35"/>
        <v>Er geldt een continue meetverplichting (art 4.41).</v>
      </c>
      <c r="AP24" s="325" t="str">
        <f t="shared" si="34"/>
        <v xml:space="preserve">De kwaliteitsborging van het continue meetsysteem vindt plaats volgens NEN-EN 14181 (art. 4.40). </v>
      </c>
      <c r="AQ24" s="325" t="str">
        <f t="shared" si="34"/>
        <v>De aangetoonde meetonzekerheid mag niet groter zijn dan 20% van de emissie-eis (art. 4.48).</v>
      </c>
      <c r="AR24" s="325"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4" s="325"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4" s="149"/>
      <c r="AU24" s="150"/>
      <c r="AV24" s="150"/>
      <c r="AW24" s="150"/>
      <c r="AX24" s="158"/>
    </row>
    <row r="25" spans="1:50" x14ac:dyDescent="0.2">
      <c r="A25" s="295"/>
      <c r="B25" s="339">
        <f t="shared" ca="1" si="31"/>
        <v>0</v>
      </c>
      <c r="C25" s="249">
        <f t="shared" ca="1" si="32"/>
        <v>0</v>
      </c>
      <c r="D25" s="246">
        <f t="shared" ca="1" si="33"/>
        <v>0</v>
      </c>
      <c r="E25" s="247">
        <f t="shared" ca="1" si="23"/>
        <v>1</v>
      </c>
      <c r="F25" s="247">
        <f t="shared" ca="1" si="24"/>
        <v>1</v>
      </c>
      <c r="G25" s="147">
        <f ca="1">IF(AND(SI&lt;&gt;3,SI&lt;&gt;4),1,0)</f>
        <v>1</v>
      </c>
      <c r="H25" s="147"/>
      <c r="I25" s="148"/>
      <c r="J25" s="147"/>
      <c r="K25" s="148"/>
      <c r="L25" s="802">
        <f ca="1">IF(BRAND1=1,1,0)</f>
        <v>1</v>
      </c>
      <c r="M25" s="248">
        <f t="shared" ca="1" si="25"/>
        <v>0</v>
      </c>
      <c r="N25" s="802">
        <f ca="1">IF(BRAND2=1,1,0)</f>
        <v>0</v>
      </c>
      <c r="O25" s="249">
        <f t="shared" ca="1" si="26"/>
        <v>0</v>
      </c>
      <c r="P25" s="279" t="s">
        <v>40</v>
      </c>
      <c r="Q25" s="149" t="s">
        <v>181</v>
      </c>
      <c r="R25" s="149" t="s">
        <v>180</v>
      </c>
      <c r="S25" s="149"/>
      <c r="T25" s="149"/>
      <c r="U25" s="150"/>
      <c r="V25" s="150"/>
      <c r="W25" s="150"/>
      <c r="X25" s="150"/>
      <c r="Y25" s="151"/>
      <c r="Z25" s="143"/>
      <c r="AA25" s="144">
        <v>36463</v>
      </c>
      <c r="AB25" s="143"/>
      <c r="AC25" s="145"/>
      <c r="AD25" s="146"/>
      <c r="AE25" s="276" t="s">
        <v>159</v>
      </c>
      <c r="AF25" s="152" t="s">
        <v>127</v>
      </c>
      <c r="AG25" s="147"/>
      <c r="AH25" s="636"/>
      <c r="AI25" s="645"/>
      <c r="AJ25" s="269"/>
      <c r="AK25" s="626" t="s">
        <v>177</v>
      </c>
      <c r="AL25" s="147">
        <v>100</v>
      </c>
      <c r="AM25" s="655"/>
      <c r="AN25" s="834"/>
      <c r="AO25" s="325" t="str">
        <f t="shared" si="35"/>
        <v>Er geldt een continue meetverplichting (art 4.41).</v>
      </c>
      <c r="AP25" s="325" t="str">
        <f t="shared" si="34"/>
        <v xml:space="preserve">De kwaliteitsborging van het continue meetsysteem vindt plaats volgens NEN-EN 14181 (art. 4.40). </v>
      </c>
      <c r="AQ25" s="325" t="str">
        <f t="shared" si="34"/>
        <v>De aangetoonde meetonzekerheid mag niet groter zijn dan 20% van de emissie-eis (art. 4.48).</v>
      </c>
      <c r="AR25" s="325"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5" s="325"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5" s="149"/>
      <c r="AU25" s="150"/>
      <c r="AV25" s="150"/>
      <c r="AW25" s="150"/>
      <c r="AX25" s="151"/>
    </row>
    <row r="26" spans="1:50" x14ac:dyDescent="0.2">
      <c r="A26" s="295"/>
      <c r="B26" s="339">
        <f t="shared" ca="1" si="31"/>
        <v>0</v>
      </c>
      <c r="C26" s="249">
        <f t="shared" ca="1" si="32"/>
        <v>0</v>
      </c>
      <c r="D26" s="246">
        <f t="shared" ca="1" si="33"/>
        <v>0</v>
      </c>
      <c r="E26" s="247">
        <f t="shared" ca="1" si="23"/>
        <v>1</v>
      </c>
      <c r="F26" s="247">
        <f t="shared" ca="1" si="24"/>
        <v>1</v>
      </c>
      <c r="G26" s="147">
        <f ca="1">IF(AND(SI&lt;&gt;3,SI&lt;&gt;4),1,0)</f>
        <v>1</v>
      </c>
      <c r="H26" s="147"/>
      <c r="I26" s="148"/>
      <c r="J26" s="147"/>
      <c r="K26" s="148"/>
      <c r="L26" s="802">
        <f ca="1">IF(AND(BRAND1&gt;1,FBRAND1="g"),1,0)</f>
        <v>0</v>
      </c>
      <c r="M26" s="248">
        <f t="shared" ca="1" si="25"/>
        <v>0</v>
      </c>
      <c r="N26" s="802">
        <f ca="1">IF(AND(BRAND2&gt;1,FBRAND2="g"),1,0)</f>
        <v>0</v>
      </c>
      <c r="O26" s="249">
        <f t="shared" ca="1" si="26"/>
        <v>0</v>
      </c>
      <c r="P26" s="279" t="s">
        <v>40</v>
      </c>
      <c r="Q26" s="149" t="s">
        <v>181</v>
      </c>
      <c r="R26" s="149" t="s">
        <v>182</v>
      </c>
      <c r="S26" s="149"/>
      <c r="T26" s="149"/>
      <c r="U26" s="150"/>
      <c r="V26" s="150"/>
      <c r="W26" s="150"/>
      <c r="X26" s="150"/>
      <c r="Y26" s="151"/>
      <c r="Z26" s="143"/>
      <c r="AA26" s="144">
        <v>36463</v>
      </c>
      <c r="AB26" s="143"/>
      <c r="AC26" s="145"/>
      <c r="AD26" s="146"/>
      <c r="AE26" s="276" t="s">
        <v>159</v>
      </c>
      <c r="AF26" s="152" t="s">
        <v>122</v>
      </c>
      <c r="AG26" s="153"/>
      <c r="AH26" s="636"/>
      <c r="AI26" s="645"/>
      <c r="AJ26" s="269"/>
      <c r="AK26" s="626" t="s">
        <v>177</v>
      </c>
      <c r="AL26" s="147">
        <v>150</v>
      </c>
      <c r="AM26" s="150" t="s">
        <v>211</v>
      </c>
      <c r="AN26" s="834"/>
      <c r="AO26" s="325" t="str">
        <f t="shared" si="35"/>
        <v>Er geldt een continue meetverplichting (art 4.41).</v>
      </c>
      <c r="AP26" s="325" t="str">
        <f t="shared" si="34"/>
        <v xml:space="preserve">De kwaliteitsborging van het continue meetsysteem vindt plaats volgens NEN-EN 14181 (art. 4.40). </v>
      </c>
      <c r="AQ26" s="325" t="str">
        <f t="shared" si="34"/>
        <v>De aangetoonde meetonzekerheid mag niet groter zijn dan 20% van de emissie-eis (art. 4.48).</v>
      </c>
      <c r="AR26" s="325"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6" s="325"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6" s="149"/>
      <c r="AU26" s="150"/>
      <c r="AV26" s="150"/>
      <c r="AW26" s="150"/>
      <c r="AX26" s="158"/>
    </row>
    <row r="27" spans="1:50" x14ac:dyDescent="0.2">
      <c r="A27" s="296"/>
      <c r="B27" s="339">
        <f t="shared" ca="1" si="31"/>
        <v>0</v>
      </c>
      <c r="C27" s="249">
        <f t="shared" ca="1" si="32"/>
        <v>0</v>
      </c>
      <c r="D27" s="246">
        <f t="shared" ca="1" si="33"/>
        <v>1</v>
      </c>
      <c r="E27" s="247">
        <f t="shared" ca="1" si="23"/>
        <v>1</v>
      </c>
      <c r="F27" s="247">
        <f t="shared" ca="1" si="24"/>
        <v>1</v>
      </c>
      <c r="G27" s="147">
        <f ca="1">IF(AND(SI&lt;&gt;3,SI&lt;&gt;4),1,0)</f>
        <v>1</v>
      </c>
      <c r="H27" s="147"/>
      <c r="I27" s="148"/>
      <c r="J27" s="147"/>
      <c r="K27" s="148"/>
      <c r="L27" s="802">
        <f ca="1">IF(AND(BRAND1&gt;1,FBRAND1="g"),1,0)</f>
        <v>0</v>
      </c>
      <c r="M27" s="248">
        <f t="shared" ca="1" si="25"/>
        <v>0</v>
      </c>
      <c r="N27" s="802">
        <f ca="1">IF(AND(BRAND2&gt;1,FBRAND2="g"),1,0)</f>
        <v>0</v>
      </c>
      <c r="O27" s="249">
        <f t="shared" ca="1" si="26"/>
        <v>0</v>
      </c>
      <c r="P27" s="279" t="s">
        <v>40</v>
      </c>
      <c r="Q27" s="149" t="s">
        <v>181</v>
      </c>
      <c r="R27" s="149" t="s">
        <v>182</v>
      </c>
      <c r="S27" s="149"/>
      <c r="T27" s="149"/>
      <c r="U27" s="150"/>
      <c r="V27" s="150"/>
      <c r="W27" s="150"/>
      <c r="X27" s="150"/>
      <c r="Y27" s="151"/>
      <c r="Z27" s="143">
        <v>36463</v>
      </c>
      <c r="AA27" s="144"/>
      <c r="AB27" s="143"/>
      <c r="AC27" s="145"/>
      <c r="AD27" s="146"/>
      <c r="AE27" s="276" t="s">
        <v>159</v>
      </c>
      <c r="AF27" s="152" t="s">
        <v>162</v>
      </c>
      <c r="AG27" s="153"/>
      <c r="AH27" s="636"/>
      <c r="AI27" s="645"/>
      <c r="AJ27" s="269"/>
      <c r="AK27" s="630"/>
      <c r="AL27" s="153"/>
      <c r="AM27" s="655"/>
      <c r="AN27" s="834"/>
      <c r="AO27" s="325" t="str">
        <f t="shared" si="35"/>
        <v>Er geldt een continue meetverplichting (art 4.41).</v>
      </c>
      <c r="AP27" s="325" t="str">
        <f t="shared" si="34"/>
        <v xml:space="preserve">De kwaliteitsborging van het continue meetsysteem vindt plaats volgens NEN-EN 14181 (art. 4.40). </v>
      </c>
      <c r="AQ27" s="325" t="str">
        <f t="shared" si="34"/>
        <v>De aangetoonde meetonzekerheid mag niet groter zijn dan 20% van de emissie-eis (art. 4.48).</v>
      </c>
      <c r="AR27" s="325"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7" s="325"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7" s="149"/>
      <c r="AU27" s="150"/>
      <c r="AV27" s="150"/>
      <c r="AW27" s="150"/>
      <c r="AX27" s="151"/>
    </row>
    <row r="28" spans="1:50" x14ac:dyDescent="0.2">
      <c r="A28" s="295"/>
      <c r="B28" s="340"/>
      <c r="C28" s="341"/>
      <c r="D28" s="326"/>
      <c r="E28" s="46"/>
      <c r="F28" s="46"/>
      <c r="G28" s="147"/>
      <c r="H28" s="147"/>
      <c r="I28" s="148"/>
      <c r="J28" s="147"/>
      <c r="K28" s="148"/>
      <c r="L28" s="147"/>
      <c r="M28" s="56"/>
      <c r="N28" s="147"/>
      <c r="O28" s="59"/>
      <c r="P28" s="279"/>
      <c r="Q28" s="160"/>
      <c r="R28" s="149"/>
      <c r="S28" s="149"/>
      <c r="T28" s="149"/>
      <c r="U28" s="150"/>
      <c r="V28" s="150"/>
      <c r="W28" s="150"/>
      <c r="X28" s="150"/>
      <c r="Y28" s="151"/>
      <c r="Z28" s="143"/>
      <c r="AA28" s="144"/>
      <c r="AB28" s="143"/>
      <c r="AC28" s="145"/>
      <c r="AD28" s="146"/>
      <c r="AE28" s="276"/>
      <c r="AF28" s="152"/>
      <c r="AG28" s="147"/>
      <c r="AH28" s="636"/>
      <c r="AI28" s="645"/>
      <c r="AJ28" s="269"/>
      <c r="AK28" s="626"/>
      <c r="AL28" s="147"/>
      <c r="AM28" s="655"/>
      <c r="AN28" s="835"/>
      <c r="AO28" s="155"/>
      <c r="AP28" s="155"/>
      <c r="AQ28" s="155"/>
      <c r="AR28" s="155"/>
      <c r="AS28" s="149"/>
      <c r="AT28" s="155"/>
      <c r="AU28" s="157"/>
      <c r="AV28" s="157"/>
      <c r="AW28" s="157"/>
      <c r="AX28" s="151"/>
    </row>
    <row r="29" spans="1:50" x14ac:dyDescent="0.2">
      <c r="A29" s="363" t="s">
        <v>338</v>
      </c>
      <c r="B29" s="364"/>
      <c r="C29" s="365"/>
      <c r="D29" s="366"/>
      <c r="E29" s="367"/>
      <c r="F29" s="367"/>
      <c r="G29" s="368"/>
      <c r="H29" s="368"/>
      <c r="I29" s="369"/>
      <c r="J29" s="368"/>
      <c r="K29" s="369"/>
      <c r="L29" s="368"/>
      <c r="M29" s="370"/>
      <c r="N29" s="368"/>
      <c r="O29" s="371"/>
      <c r="P29" s="372"/>
      <c r="Q29" s="373"/>
      <c r="R29" s="374"/>
      <c r="S29" s="374"/>
      <c r="T29" s="374"/>
      <c r="U29" s="375"/>
      <c r="V29" s="375"/>
      <c r="W29" s="375"/>
      <c r="X29" s="375"/>
      <c r="Y29" s="376"/>
      <c r="Z29" s="377"/>
      <c r="AA29" s="378"/>
      <c r="AB29" s="377"/>
      <c r="AC29" s="379"/>
      <c r="AD29" s="380"/>
      <c r="AE29" s="381"/>
      <c r="AF29" s="382"/>
      <c r="AG29" s="368"/>
      <c r="AH29" s="637"/>
      <c r="AI29" s="646"/>
      <c r="AJ29" s="383"/>
      <c r="AK29" s="627"/>
      <c r="AL29" s="368"/>
      <c r="AM29" s="656"/>
      <c r="AN29" s="836"/>
      <c r="AO29" s="346" t="s">
        <v>245</v>
      </c>
      <c r="AP29" s="346" t="s">
        <v>384</v>
      </c>
      <c r="AQ29" s="346" t="s">
        <v>191</v>
      </c>
      <c r="AR29" s="346" t="s">
        <v>212</v>
      </c>
      <c r="AS29" s="346"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29" s="336"/>
      <c r="AU29" s="337"/>
      <c r="AV29" s="337"/>
      <c r="AW29" s="337"/>
      <c r="AX29" s="335"/>
    </row>
    <row r="30" spans="1:50" x14ac:dyDescent="0.2">
      <c r="A30" s="584"/>
      <c r="B30" s="585"/>
      <c r="C30" s="586"/>
      <c r="D30" s="587"/>
      <c r="E30" s="588"/>
      <c r="F30" s="588"/>
      <c r="G30" s="589"/>
      <c r="H30" s="589"/>
      <c r="I30" s="590"/>
      <c r="J30" s="589"/>
      <c r="K30" s="590"/>
      <c r="L30" s="589"/>
      <c r="M30" s="591"/>
      <c r="N30" s="589"/>
      <c r="O30" s="592"/>
      <c r="P30" s="593"/>
      <c r="Q30" s="594"/>
      <c r="R30" s="595"/>
      <c r="S30" s="595"/>
      <c r="T30" s="595"/>
      <c r="U30" s="596"/>
      <c r="V30" s="596"/>
      <c r="W30" s="596"/>
      <c r="X30" s="596"/>
      <c r="Y30" s="597"/>
      <c r="Z30" s="598"/>
      <c r="AA30" s="599"/>
      <c r="AB30" s="598"/>
      <c r="AC30" s="600"/>
      <c r="AD30" s="601"/>
      <c r="AE30" s="602"/>
      <c r="AF30" s="603"/>
      <c r="AG30" s="589"/>
      <c r="AH30" s="638"/>
      <c r="AI30" s="647"/>
      <c r="AJ30" s="604"/>
      <c r="AK30" s="628"/>
      <c r="AL30" s="589"/>
      <c r="AM30" s="657"/>
      <c r="AN30" s="837"/>
      <c r="AO30" s="606"/>
      <c r="AP30" s="606"/>
      <c r="AQ30" s="606"/>
      <c r="AR30" s="606"/>
      <c r="AS30" s="595"/>
      <c r="AT30" s="606"/>
      <c r="AU30" s="607"/>
      <c r="AV30" s="607"/>
      <c r="AW30" s="607"/>
      <c r="AX30" s="597"/>
    </row>
    <row r="31" spans="1:50" x14ac:dyDescent="0.2">
      <c r="A31" s="393" t="s">
        <v>293</v>
      </c>
      <c r="B31" s="394"/>
      <c r="C31" s="395"/>
      <c r="D31" s="396"/>
      <c r="E31" s="397"/>
      <c r="F31" s="397"/>
      <c r="G31" s="398"/>
      <c r="H31" s="398"/>
      <c r="I31" s="399"/>
      <c r="J31" s="398"/>
      <c r="K31" s="399"/>
      <c r="L31" s="398"/>
      <c r="M31" s="400"/>
      <c r="N31" s="398"/>
      <c r="O31" s="401"/>
      <c r="P31" s="402"/>
      <c r="Q31" s="403"/>
      <c r="R31" s="404"/>
      <c r="S31" s="404"/>
      <c r="T31" s="404"/>
      <c r="U31" s="405"/>
      <c r="V31" s="405"/>
      <c r="W31" s="405"/>
      <c r="X31" s="405"/>
      <c r="Y31" s="406"/>
      <c r="Z31" s="407"/>
      <c r="AA31" s="408"/>
      <c r="AB31" s="407"/>
      <c r="AC31" s="409"/>
      <c r="AD31" s="410"/>
      <c r="AE31" s="411"/>
      <c r="AF31" s="412"/>
      <c r="AG31" s="398"/>
      <c r="AH31" s="639"/>
      <c r="AI31" s="648"/>
      <c r="AJ31" s="413"/>
      <c r="AK31" s="629"/>
      <c r="AL31" s="398"/>
      <c r="AM31" s="658"/>
      <c r="AN31" s="838"/>
      <c r="AO31" s="333" t="str">
        <f ca="1">CONCATENATE("Bij van toepassing worden van een emissie-eis wordt een periodieke meting uitgevoerd",IF(OR(MW&lt;1,Offshore),IF(TSI&lt;0," en vervolgens vierjaarlijks",""),IF(MW&gt;20," en vervolgens jaarlijks"," en vervolgens driejaarlijks"))," (art. 4.1314). ",IF(OR(MW&lt;1,INGVAN&gt;=IWTMCP),"",CONCATENATE("Tot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1" s="333" t="s">
        <v>395</v>
      </c>
      <c r="AQ31" s="333" t="s">
        <v>246</v>
      </c>
      <c r="AR31" s="333" t="s">
        <v>247</v>
      </c>
      <c r="AS31" s="327"/>
      <c r="AT31" s="330"/>
      <c r="AU31" s="331"/>
      <c r="AV31" s="331"/>
      <c r="AW31" s="331"/>
      <c r="AX31" s="328"/>
    </row>
    <row r="32" spans="1:50" x14ac:dyDescent="0.2">
      <c r="A32" s="295"/>
      <c r="B32" s="339">
        <f t="shared" ref="B32:B64" ca="1" si="36">IF(AND(SUM(D32:K32,L32:M32)=COUNT(D32:K32,L32:M32),COUNT(D32:K32,L32:M32)&gt;0),ROW(B32),0)</f>
        <v>0</v>
      </c>
      <c r="C32" s="249">
        <f t="shared" ref="C32:C64" ca="1" si="37">IF(AND(SUM(D32:K32,N32:O32)=COUNT(D32:K32,N32:O32),COUNT(D32:K32,N32:O32)&gt;0),ROW(B32),0)</f>
        <v>0</v>
      </c>
      <c r="D32" s="246">
        <f t="shared" ref="D32:D60" ca="1" si="38">IF(AND(OR($Z32="",INGVAN="",$Z32&lt;=INGVAN),OR($Z32="",INGTOT="",$Z32&lt;=INGTOT),OR($AA32="",INGVAN="",$AA32&gt;=INGVAN),OR($AA32="",INGTOT="",$AA32&gt;=INGTOT)),1,0)</f>
        <v>1</v>
      </c>
      <c r="E32" s="247">
        <f t="shared" ref="E32" ca="1" si="39">IF(AND(OR($AB32="",Tdatum&gt;=$AB32,AND(AB32&lt;&gt;"",ISNUMBER(FIND("j",LOWER(AD32))))),OR($AC32="",Tdatum&lt;=$AC32)),1,0)</f>
        <v>1</v>
      </c>
      <c r="F32" s="247">
        <f t="shared" ca="1" si="24"/>
        <v>1</v>
      </c>
      <c r="G32" s="147">
        <f ca="1">IF(SI=8,1,0)</f>
        <v>0</v>
      </c>
      <c r="H32" s="147"/>
      <c r="I32" s="148"/>
      <c r="J32" s="147"/>
      <c r="K32" s="148"/>
      <c r="L32" s="147"/>
      <c r="M32" s="248">
        <f t="shared" ref="M32" ca="1" si="40">IF(AND(ParBAL1&lt;&gt;"",ParBAL1=P32),1,0)</f>
        <v>1</v>
      </c>
      <c r="N32" s="147"/>
      <c r="O32" s="249">
        <f t="shared" ref="O32" ca="1" si="41">IF(AND(ParBAL2&lt;&gt;"",ParBAL2=P32),1,0)</f>
        <v>0</v>
      </c>
      <c r="P32" s="44" t="s">
        <v>106</v>
      </c>
      <c r="Q32" s="149" t="s">
        <v>229</v>
      </c>
      <c r="R32" s="149" t="s">
        <v>222</v>
      </c>
      <c r="S32" s="275"/>
      <c r="T32" s="149"/>
      <c r="U32" s="150"/>
      <c r="V32" s="150"/>
      <c r="W32" s="150"/>
      <c r="X32" s="150"/>
      <c r="Y32" s="151"/>
      <c r="Z32" s="143"/>
      <c r="AA32" s="144"/>
      <c r="AB32" s="143"/>
      <c r="AC32" s="145"/>
      <c r="AD32" s="146"/>
      <c r="AE32" s="276" t="s">
        <v>230</v>
      </c>
      <c r="AF32" s="152" t="s">
        <v>162</v>
      </c>
      <c r="AG32" s="153"/>
      <c r="AH32" s="636"/>
      <c r="AI32" s="645"/>
      <c r="AJ32" s="269"/>
      <c r="AK32" s="630"/>
      <c r="AL32" s="153"/>
      <c r="AM32" s="655"/>
      <c r="AN32" s="834"/>
      <c r="AO32" s="325" t="str">
        <f ca="1">IF($AF32="","",AO$31)</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2" s="324" t="str">
        <f t="shared" ref="AP32:AR60" si="42">IF($AF32="","",AP$31)</f>
        <v xml:space="preserve">Een periodieke meting bestaat uit drie deelmetingen van 15-30 minuten. De metingen mogen worden uitgevoerd door een geaccrediteerd laboratorium volgens NEN-EN 14792 of door een SCIOS gecertificeerd bedrijf volgens scope 6 (art. 4.1312). </v>
      </c>
      <c r="AQ32" s="324" t="str">
        <f t="shared" si="42"/>
        <v>De aangetoonde meetonzekerheid mag niet groter zijn dan 20% van de emissie-eis (art. 4.1312 en art. 4.1319).</v>
      </c>
      <c r="AR32"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2" s="149"/>
      <c r="AT32" s="149"/>
      <c r="AU32" s="150"/>
      <c r="AV32" s="150"/>
      <c r="AW32" s="150"/>
      <c r="AX32" s="158"/>
    </row>
    <row r="33" spans="1:50" x14ac:dyDescent="0.2">
      <c r="A33" s="295"/>
      <c r="B33" s="339">
        <f t="shared" ca="1" si="36"/>
        <v>0</v>
      </c>
      <c r="C33" s="249">
        <f t="shared" ca="1" si="37"/>
        <v>0</v>
      </c>
      <c r="D33" s="246">
        <f t="shared" ca="1" si="38"/>
        <v>1</v>
      </c>
      <c r="E33" s="247">
        <f t="shared" ref="E33:E53" ca="1" si="43">IF(AND(OR($AB33="",Tdatum&gt;=$AB33,AND(AB33&lt;&gt;"",ISNUMBER(FIND("j",LOWER(AD33))))),OR($AC33="",Tdatum&lt;=$AC33)),1,0)</f>
        <v>1</v>
      </c>
      <c r="F33" s="247">
        <f t="shared" ca="1" si="24"/>
        <v>1</v>
      </c>
      <c r="G33" s="147">
        <f t="shared" ref="G33:G43" ca="1" si="44">IF(SI&lt;=2,1,0)</f>
        <v>1</v>
      </c>
      <c r="H33" s="147"/>
      <c r="I33" s="148"/>
      <c r="J33" s="147"/>
      <c r="K33" s="148"/>
      <c r="L33" s="147">
        <f ca="1">IF(OR(BRAND1=6,BRAND1=7),1,0)</f>
        <v>0</v>
      </c>
      <c r="M33" s="248">
        <f t="shared" ref="M33:M53" ca="1" si="45">IF(AND(ParBAL1&lt;&gt;"",ParBAL1=P33),1,0)</f>
        <v>1</v>
      </c>
      <c r="N33" s="147">
        <f ca="1">IF(OR(BRAND2=6,BRAND2=7),1,0)</f>
        <v>0</v>
      </c>
      <c r="O33" s="249">
        <f t="shared" ref="O33:O53" ca="1" si="46">IF(AND(ParBAL2&lt;&gt;"",ParBAL2=P33),1,0)</f>
        <v>0</v>
      </c>
      <c r="P33" s="44" t="s">
        <v>106</v>
      </c>
      <c r="Q33" s="149" t="s">
        <v>204</v>
      </c>
      <c r="R33" s="149" t="s">
        <v>208</v>
      </c>
      <c r="S33" s="275">
        <v>0.40010000000000001</v>
      </c>
      <c r="T33" s="149"/>
      <c r="U33" s="150"/>
      <c r="V33" s="150"/>
      <c r="W33" s="150"/>
      <c r="X33" s="150"/>
      <c r="Y33" s="151"/>
      <c r="Z33" s="143"/>
      <c r="AA33" s="144"/>
      <c r="AB33" s="143"/>
      <c r="AC33" s="145"/>
      <c r="AD33" s="146"/>
      <c r="AE33" s="276" t="s">
        <v>205</v>
      </c>
      <c r="AF33" s="152" t="s">
        <v>163</v>
      </c>
      <c r="AG33" s="153"/>
      <c r="AH33" s="636" t="str">
        <f ca="1">IF(AND(MW&lt;1,INGTOT&lt;=SCPbest)," geldt vanaf een ingrijpende wijziging (art. 4.1332 3e lid)","")</f>
        <v/>
      </c>
      <c r="AI33" s="645"/>
      <c r="AJ33" s="269"/>
      <c r="AK33" s="630"/>
      <c r="AL33" s="153"/>
      <c r="AM33" s="655"/>
      <c r="AN33" s="834"/>
      <c r="AO33" s="325" t="str">
        <f t="shared" ref="AO33:AO60" ca="1" si="47">IF($AF33="","",AO$31)</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33" s="324" t="str">
        <f t="shared" si="42"/>
        <v>De aangetoonde meetonzekerheid mag niet groter zijn dan 20% van de emissie-eis (art. 4.1312 en art. 4.1319).</v>
      </c>
      <c r="AR33"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9"/>
      <c r="AT33" s="149"/>
      <c r="AU33" s="150"/>
      <c r="AV33" s="150"/>
      <c r="AW33" s="150"/>
      <c r="AX33" s="151"/>
    </row>
    <row r="34" spans="1:50" x14ac:dyDescent="0.2">
      <c r="A34" s="295"/>
      <c r="B34" s="339">
        <f t="shared" ca="1" si="36"/>
        <v>0</v>
      </c>
      <c r="C34" s="249">
        <f t="shared" ca="1" si="37"/>
        <v>0</v>
      </c>
      <c r="D34" s="246">
        <f t="shared" ca="1" si="38"/>
        <v>1</v>
      </c>
      <c r="E34" s="247">
        <f t="shared" ca="1" si="43"/>
        <v>1</v>
      </c>
      <c r="F34" s="247">
        <f t="shared" ca="1" si="24"/>
        <v>0</v>
      </c>
      <c r="G34" s="147">
        <f t="shared" ca="1" si="44"/>
        <v>1</v>
      </c>
      <c r="H34" s="147"/>
      <c r="I34" s="148"/>
      <c r="J34" s="147"/>
      <c r="K34" s="148"/>
      <c r="L34" s="147">
        <f ca="1">IF(AND(BRAND1&gt;=8,BRAND1&lt;=10),1,0)</f>
        <v>0</v>
      </c>
      <c r="M34" s="248">
        <f t="shared" ca="1" si="45"/>
        <v>1</v>
      </c>
      <c r="N34" s="147">
        <f ca="1">IF(AND(BRAND2&gt;=8,BRAND2&lt;=10),1,0)</f>
        <v>0</v>
      </c>
      <c r="O34" s="249">
        <f t="shared" ca="1" si="46"/>
        <v>0</v>
      </c>
      <c r="P34" s="44" t="s">
        <v>106</v>
      </c>
      <c r="Q34" s="149" t="s">
        <v>204</v>
      </c>
      <c r="R34" s="149" t="s">
        <v>206</v>
      </c>
      <c r="S34" s="275">
        <v>0.1</v>
      </c>
      <c r="T34" s="325">
        <v>0.5</v>
      </c>
      <c r="U34" s="150"/>
      <c r="V34" s="150"/>
      <c r="W34" s="150"/>
      <c r="X34" s="150"/>
      <c r="Y34" s="151"/>
      <c r="Z34" s="143"/>
      <c r="AA34" s="144"/>
      <c r="AB34" s="143"/>
      <c r="AC34" s="145"/>
      <c r="AD34" s="146"/>
      <c r="AE34" s="276" t="str">
        <f t="shared" ref="AE34:AE43" si="48">AE33</f>
        <v>4.1303</v>
      </c>
      <c r="AF34" s="152" t="s">
        <v>207</v>
      </c>
      <c r="AG34" s="153"/>
      <c r="AH34" s="636"/>
      <c r="AI34" s="645"/>
      <c r="AJ34" s="269"/>
      <c r="AK34" s="630"/>
      <c r="AL34" s="153"/>
      <c r="AM34" s="655"/>
      <c r="AN34" s="834"/>
      <c r="AO34"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4"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34" s="324" t="str">
        <f t="shared" si="42"/>
        <v>De aangetoonde meetonzekerheid mag niet groter zijn dan 20% van de emissie-eis (art. 4.1312 en art. 4.1319).</v>
      </c>
      <c r="AR34"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4" s="149"/>
      <c r="AT34" s="149"/>
      <c r="AU34" s="150"/>
      <c r="AV34" s="150"/>
      <c r="AW34" s="150"/>
      <c r="AX34" s="158"/>
    </row>
    <row r="35" spans="1:50" s="795" customFormat="1" x14ac:dyDescent="0.2">
      <c r="A35" s="772"/>
      <c r="B35" s="745">
        <f t="shared" ref="B35" ca="1" si="49">IF(AND(SUM(D35:K35,L35:M35)=COUNT(D35:K35,L35:M35),COUNT(D35:K35,L35:M35)&gt;0),ROW(B35),0)</f>
        <v>0</v>
      </c>
      <c r="C35" s="773">
        <f t="shared" ref="C35" ca="1" si="50">IF(AND(SUM(D35:K35,N35:O35)=COUNT(D35:K35,N35:O35),COUNT(D35:K35,N35:O35)&gt;0),ROW(B35),0)</f>
        <v>0</v>
      </c>
      <c r="D35" s="774">
        <f t="shared" ca="1" si="38"/>
        <v>1</v>
      </c>
      <c r="E35" s="775">
        <f t="shared" ref="E35" ca="1" si="51">IF(AND(OR($AB35="",Tdatum&gt;=$AB35,AND(AB35&lt;&gt;"",ISNUMBER(FIND("j",LOWER(AD35))))),OR($AC35="",Tdatum&lt;=$AC35)),1,0)</f>
        <v>1</v>
      </c>
      <c r="F35" s="775">
        <f t="shared" ca="1" si="24"/>
        <v>0</v>
      </c>
      <c r="G35" s="776">
        <f t="shared" ca="1" si="44"/>
        <v>1</v>
      </c>
      <c r="H35" s="776"/>
      <c r="I35" s="777"/>
      <c r="J35" s="776"/>
      <c r="K35" s="777"/>
      <c r="L35" s="776">
        <f ca="1">IF(AND(BRAND1&gt;=8,BRAND1&lt;=10),1,0)</f>
        <v>0</v>
      </c>
      <c r="M35" s="778">
        <f t="shared" ref="M35" ca="1" si="52">IF(AND(ParBAL1&lt;&gt;"",ParBAL1=P35),1,0)</f>
        <v>1</v>
      </c>
      <c r="N35" s="776">
        <f ca="1">IF(AND(BRAND2&gt;=8,BRAND2&lt;=10),1,0)</f>
        <v>0</v>
      </c>
      <c r="O35" s="773">
        <f t="shared" ref="O35" ca="1" si="53">IF(AND(ParBAL2&lt;&gt;"",ParBAL2=P35),1,0)</f>
        <v>0</v>
      </c>
      <c r="P35" s="779" t="s">
        <v>106</v>
      </c>
      <c r="Q35" s="325" t="s">
        <v>204</v>
      </c>
      <c r="R35" s="325" t="s">
        <v>206</v>
      </c>
      <c r="S35" s="780">
        <v>0.5</v>
      </c>
      <c r="T35" s="325">
        <v>1</v>
      </c>
      <c r="U35" s="781"/>
      <c r="V35" s="781"/>
      <c r="W35" s="781"/>
      <c r="X35" s="781"/>
      <c r="Y35" s="782"/>
      <c r="Z35" s="783"/>
      <c r="AA35" s="784"/>
      <c r="AB35" s="757"/>
      <c r="AC35" s="785"/>
      <c r="AD35" s="786"/>
      <c r="AE35" s="787" t="s">
        <v>205</v>
      </c>
      <c r="AF35" s="762" t="s">
        <v>213</v>
      </c>
      <c r="AG35" s="788"/>
      <c r="AH35" s="789"/>
      <c r="AI35" s="790"/>
      <c r="AJ35" s="791"/>
      <c r="AK35" s="792"/>
      <c r="AL35" s="788"/>
      <c r="AM35" s="793"/>
      <c r="AN35" s="834"/>
      <c r="AO35"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5"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35" s="324" t="str">
        <f t="shared" si="42"/>
        <v>De aangetoonde meetonzekerheid mag niet groter zijn dan 20% van de emissie-eis (art. 4.1312 en art. 4.1319).</v>
      </c>
      <c r="AR35"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5" s="325"/>
      <c r="AT35" s="325"/>
      <c r="AU35" s="781"/>
      <c r="AV35" s="781"/>
      <c r="AW35" s="781"/>
      <c r="AX35" s="794"/>
    </row>
    <row r="36" spans="1:50" x14ac:dyDescent="0.2">
      <c r="A36" s="295"/>
      <c r="B36" s="745">
        <f t="shared" ca="1" si="36"/>
        <v>0</v>
      </c>
      <c r="C36" s="249">
        <f t="shared" ca="1" si="37"/>
        <v>0</v>
      </c>
      <c r="D36" s="246">
        <f t="shared" ca="1" si="38"/>
        <v>1</v>
      </c>
      <c r="E36" s="247">
        <f t="shared" ca="1" si="43"/>
        <v>1</v>
      </c>
      <c r="F36" s="247">
        <f t="shared" ca="1" si="24"/>
        <v>0</v>
      </c>
      <c r="G36" s="147">
        <f t="shared" ca="1" si="44"/>
        <v>1</v>
      </c>
      <c r="H36" s="147"/>
      <c r="I36" s="148"/>
      <c r="J36" s="147"/>
      <c r="K36" s="148"/>
      <c r="L36" s="147">
        <f ca="1">IF(AND(BRAND1&gt;=8,BRAND1&lt;=10),1,0)</f>
        <v>0</v>
      </c>
      <c r="M36" s="248">
        <f t="shared" ca="1" si="45"/>
        <v>1</v>
      </c>
      <c r="N36" s="147">
        <f ca="1">IF(AND(BRAND2&gt;=8,BRAND2&lt;=10),1,0)</f>
        <v>0</v>
      </c>
      <c r="O36" s="249">
        <f t="shared" ca="1" si="46"/>
        <v>0</v>
      </c>
      <c r="P36" s="44" t="s">
        <v>106</v>
      </c>
      <c r="Q36" s="149" t="s">
        <v>204</v>
      </c>
      <c r="R36" s="149" t="s">
        <v>206</v>
      </c>
      <c r="S36" s="149">
        <v>1</v>
      </c>
      <c r="T36" s="149">
        <v>5</v>
      </c>
      <c r="U36" s="150"/>
      <c r="V36" s="150"/>
      <c r="W36" s="150"/>
      <c r="X36" s="150"/>
      <c r="Y36" s="151"/>
      <c r="Z36" s="143"/>
      <c r="AA36" s="144"/>
      <c r="AB36" s="757"/>
      <c r="AC36" s="145"/>
      <c r="AD36" s="146"/>
      <c r="AE36" s="276" t="str">
        <f>AE34</f>
        <v>4.1303</v>
      </c>
      <c r="AF36" s="762" t="s">
        <v>214</v>
      </c>
      <c r="AG36" s="153"/>
      <c r="AH36" s="789"/>
      <c r="AI36" s="645"/>
      <c r="AJ36" s="269"/>
      <c r="AK36" s="630"/>
      <c r="AL36" s="153"/>
      <c r="AM36" s="655"/>
      <c r="AN36" s="834"/>
      <c r="AO36"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36" s="324" t="str">
        <f t="shared" si="42"/>
        <v>De aangetoonde meetonzekerheid mag niet groter zijn dan 20% van de emissie-eis (art. 4.1312 en art. 4.1319).</v>
      </c>
      <c r="AR36"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9"/>
      <c r="AT36" s="149"/>
      <c r="AU36" s="150"/>
      <c r="AV36" s="150"/>
      <c r="AW36" s="150"/>
      <c r="AX36" s="151"/>
    </row>
    <row r="37" spans="1:50" x14ac:dyDescent="0.2">
      <c r="A37" s="295"/>
      <c r="B37" s="745">
        <f t="shared" ca="1" si="36"/>
        <v>0</v>
      </c>
      <c r="C37" s="249">
        <f t="shared" ca="1" si="37"/>
        <v>0</v>
      </c>
      <c r="D37" s="246">
        <f t="shared" ca="1" si="38"/>
        <v>1</v>
      </c>
      <c r="E37" s="247">
        <f t="shared" ca="1" si="43"/>
        <v>1</v>
      </c>
      <c r="F37" s="247">
        <f t="shared" ca="1" si="24"/>
        <v>1</v>
      </c>
      <c r="G37" s="147">
        <f t="shared" ca="1" si="44"/>
        <v>1</v>
      </c>
      <c r="H37" s="147"/>
      <c r="I37" s="148"/>
      <c r="J37" s="147"/>
      <c r="K37" s="148"/>
      <c r="L37" s="147">
        <f ca="1">IF(AND(BRAND1&gt;=8,BRAND1&lt;=10),1,0)</f>
        <v>0</v>
      </c>
      <c r="M37" s="248">
        <f t="shared" ca="1" si="45"/>
        <v>1</v>
      </c>
      <c r="N37" s="147">
        <f ca="1">IF(AND(BRAND2&gt;=8,BRAND2&lt;=10),1,0)</f>
        <v>0</v>
      </c>
      <c r="O37" s="249">
        <f t="shared" ca="1" si="46"/>
        <v>0</v>
      </c>
      <c r="P37" s="44" t="s">
        <v>106</v>
      </c>
      <c r="Q37" s="149" t="s">
        <v>204</v>
      </c>
      <c r="R37" s="149" t="s">
        <v>206</v>
      </c>
      <c r="S37" s="149">
        <v>5</v>
      </c>
      <c r="T37" s="149"/>
      <c r="U37" s="150"/>
      <c r="V37" s="150"/>
      <c r="W37" s="150"/>
      <c r="X37" s="150"/>
      <c r="Y37" s="151"/>
      <c r="Z37" s="143"/>
      <c r="AA37" s="144"/>
      <c r="AB37" s="757"/>
      <c r="AC37" s="145"/>
      <c r="AD37" s="146"/>
      <c r="AE37" s="276" t="str">
        <f t="shared" si="48"/>
        <v>4.1303</v>
      </c>
      <c r="AF37" s="762" t="s">
        <v>122</v>
      </c>
      <c r="AG37" s="153"/>
      <c r="AH37" s="789"/>
      <c r="AI37" s="645"/>
      <c r="AJ37" s="269"/>
      <c r="AK37" s="630"/>
      <c r="AL37" s="153"/>
      <c r="AM37" s="655"/>
      <c r="AN37" s="834"/>
      <c r="AO37"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37" s="324" t="str">
        <f t="shared" si="42"/>
        <v>De aangetoonde meetonzekerheid mag niet groter zijn dan 20% van de emissie-eis (art. 4.1312 en art. 4.1319).</v>
      </c>
      <c r="AR37"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9"/>
      <c r="AT37" s="149"/>
      <c r="AU37" s="150"/>
      <c r="AV37" s="150"/>
      <c r="AW37" s="150"/>
      <c r="AX37" s="151"/>
    </row>
    <row r="38" spans="1:50" x14ac:dyDescent="0.2">
      <c r="A38" s="295"/>
      <c r="B38" s="339">
        <f t="shared" ca="1" si="36"/>
        <v>0</v>
      </c>
      <c r="C38" s="249">
        <f t="shared" ca="1" si="37"/>
        <v>0</v>
      </c>
      <c r="D38" s="246">
        <f t="shared" ca="1" si="38"/>
        <v>1</v>
      </c>
      <c r="E38" s="247">
        <f t="shared" ca="1" si="43"/>
        <v>1</v>
      </c>
      <c r="F38" s="247">
        <f t="shared" ca="1" si="24"/>
        <v>0</v>
      </c>
      <c r="G38" s="147">
        <f t="shared" ca="1" si="44"/>
        <v>1</v>
      </c>
      <c r="H38" s="147"/>
      <c r="I38" s="148"/>
      <c r="J38" s="147"/>
      <c r="K38" s="148"/>
      <c r="L38" s="147">
        <f ca="1">IF(BRAND1=3,1,0)</f>
        <v>0</v>
      </c>
      <c r="M38" s="248">
        <f t="shared" ca="1" si="45"/>
        <v>1</v>
      </c>
      <c r="N38" s="147">
        <f ca="1">IF(BRAND2=3,1,0)</f>
        <v>0</v>
      </c>
      <c r="O38" s="249">
        <f t="shared" ca="1" si="46"/>
        <v>0</v>
      </c>
      <c r="P38" s="44" t="s">
        <v>106</v>
      </c>
      <c r="Q38" s="149" t="s">
        <v>204</v>
      </c>
      <c r="R38" s="149" t="s">
        <v>215</v>
      </c>
      <c r="S38" s="275">
        <f>S33</f>
        <v>0.40010000000000001</v>
      </c>
      <c r="T38" s="149">
        <v>1</v>
      </c>
      <c r="U38" s="150"/>
      <c r="V38" s="150"/>
      <c r="W38" s="150"/>
      <c r="X38" s="150"/>
      <c r="Y38" s="151"/>
      <c r="Z38" s="143"/>
      <c r="AA38" s="144"/>
      <c r="AB38" s="143"/>
      <c r="AC38" s="145"/>
      <c r="AD38" s="146"/>
      <c r="AE38" s="276" t="str">
        <f t="shared" si="48"/>
        <v>4.1303</v>
      </c>
      <c r="AF38" s="152" t="s">
        <v>127</v>
      </c>
      <c r="AG38" s="147"/>
      <c r="AH38" s="636" t="str">
        <f ca="1">IF(INGTOT&lt;=SCPbest," geldt vanaf een ingrijpende wijziging (art. 4.1332 3e lid)","")</f>
        <v xml:space="preserve"> geldt vanaf een ingrijpende wijziging (art. 4.1332 3e lid)</v>
      </c>
      <c r="AI38" s="645"/>
      <c r="AJ38" s="269"/>
      <c r="AK38" s="626"/>
      <c r="AL38" s="147"/>
      <c r="AM38" s="655"/>
      <c r="AN38" s="834"/>
      <c r="AO38"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8"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38" s="324" t="str">
        <f t="shared" si="42"/>
        <v>De aangetoonde meetonzekerheid mag niet groter zijn dan 20% van de emissie-eis (art. 4.1312 en art. 4.1319).</v>
      </c>
      <c r="AR38"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8" s="149"/>
      <c r="AT38" s="149"/>
      <c r="AU38" s="150"/>
      <c r="AV38" s="150"/>
      <c r="AW38" s="150"/>
      <c r="AX38" s="151"/>
    </row>
    <row r="39" spans="1:50" x14ac:dyDescent="0.2">
      <c r="A39" s="295"/>
      <c r="B39" s="339">
        <f t="shared" ca="1" si="36"/>
        <v>0</v>
      </c>
      <c r="C39" s="249">
        <f t="shared" ca="1" si="37"/>
        <v>0</v>
      </c>
      <c r="D39" s="246">
        <f t="shared" ca="1" si="38"/>
        <v>1</v>
      </c>
      <c r="E39" s="247">
        <f t="shared" ca="1" si="43"/>
        <v>1</v>
      </c>
      <c r="F39" s="247">
        <f t="shared" ca="1" si="24"/>
        <v>1</v>
      </c>
      <c r="G39" s="147">
        <f t="shared" ca="1" si="44"/>
        <v>1</v>
      </c>
      <c r="H39" s="147"/>
      <c r="I39" s="148"/>
      <c r="J39" s="147"/>
      <c r="K39" s="148"/>
      <c r="L39" s="147">
        <f ca="1">IF(BRAND1=3,1,0)</f>
        <v>0</v>
      </c>
      <c r="M39" s="248">
        <f t="shared" ca="1" si="45"/>
        <v>1</v>
      </c>
      <c r="N39" s="147">
        <f ca="1">IF(BRAND2=3,1,0)</f>
        <v>0</v>
      </c>
      <c r="O39" s="249">
        <f t="shared" ca="1" si="46"/>
        <v>0</v>
      </c>
      <c r="P39" s="44" t="s">
        <v>106</v>
      </c>
      <c r="Q39" s="149" t="s">
        <v>204</v>
      </c>
      <c r="R39" s="149" t="s">
        <v>215</v>
      </c>
      <c r="S39" s="149">
        <v>1</v>
      </c>
      <c r="T39" s="149"/>
      <c r="U39" s="150"/>
      <c r="V39" s="150"/>
      <c r="W39" s="150"/>
      <c r="X39" s="150"/>
      <c r="Y39" s="151"/>
      <c r="Z39" s="143"/>
      <c r="AA39" s="144"/>
      <c r="AB39" s="143"/>
      <c r="AC39" s="145"/>
      <c r="AD39" s="146"/>
      <c r="AE39" s="276" t="str">
        <f t="shared" si="48"/>
        <v>4.1303</v>
      </c>
      <c r="AF39" s="152" t="s">
        <v>127</v>
      </c>
      <c r="AG39" s="147"/>
      <c r="AH39" s="636"/>
      <c r="AI39" s="645"/>
      <c r="AJ39" s="269"/>
      <c r="AK39" s="626"/>
      <c r="AL39" s="147"/>
      <c r="AM39" s="655"/>
      <c r="AN39" s="834"/>
      <c r="AO39"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9"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39" s="324" t="str">
        <f t="shared" si="42"/>
        <v>De aangetoonde meetonzekerheid mag niet groter zijn dan 20% van de emissie-eis (art. 4.1312 en art. 4.1319).</v>
      </c>
      <c r="AR39"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9" s="149"/>
      <c r="AT39" s="149"/>
      <c r="AU39" s="150"/>
      <c r="AV39" s="150"/>
      <c r="AW39" s="150"/>
      <c r="AX39" s="151"/>
    </row>
    <row r="40" spans="1:50" x14ac:dyDescent="0.2">
      <c r="A40" s="295"/>
      <c r="B40" s="804">
        <f t="shared" ref="B40" ca="1" si="54">IF(AND(SUM(D40:K40,L40:M40)=COUNT(D40:K40,L40:M40),COUNT(D40:K40,L40:M40)&gt;0),ROW(B40),0)</f>
        <v>0</v>
      </c>
      <c r="C40" s="805">
        <f t="shared" ref="C40" ca="1" si="55">IF(AND(SUM(D40:K40,N40:O40)=COUNT(D40:K40,N40:O40),COUNT(D40:K40,N40:O40)&gt;0),ROW(B40),0)</f>
        <v>0</v>
      </c>
      <c r="D40" s="806">
        <f t="shared" ca="1" si="38"/>
        <v>1</v>
      </c>
      <c r="E40" s="807">
        <f t="shared" ref="E40" ca="1" si="56">IF(AND(OR($AB40="",Tdatum&gt;=$AB40,AND(AB40&lt;&gt;"",ISNUMBER(FIND("j",LOWER(AD40))))),OR($AC40="",Tdatum&lt;=$AC40)),1,0)</f>
        <v>1</v>
      </c>
      <c r="F40" s="807">
        <f t="shared" ca="1" si="24"/>
        <v>0</v>
      </c>
      <c r="G40" s="802">
        <f t="shared" ca="1" si="44"/>
        <v>1</v>
      </c>
      <c r="H40" s="802"/>
      <c r="I40" s="808"/>
      <c r="J40" s="802"/>
      <c r="K40" s="808"/>
      <c r="L40" s="802">
        <f ca="1">IF(BRAND1=2,1,0)</f>
        <v>0</v>
      </c>
      <c r="M40" s="809">
        <f t="shared" ref="M40" ca="1" si="57">IF(AND(ParBAL1&lt;&gt;"",ParBAL1=P40),1,0)</f>
        <v>1</v>
      </c>
      <c r="N40" s="802">
        <f ca="1">IF(BRAND2=2,1,0)</f>
        <v>0</v>
      </c>
      <c r="O40" s="805">
        <f t="shared" ref="O40" ca="1" si="58">IF(AND(ParBAL2&lt;&gt;"",ParBAL2=P40),1,0)</f>
        <v>0</v>
      </c>
      <c r="P40" s="810" t="s">
        <v>106</v>
      </c>
      <c r="Q40" s="803" t="s">
        <v>204</v>
      </c>
      <c r="R40" s="803" t="s">
        <v>527</v>
      </c>
      <c r="S40" s="811">
        <v>0.1</v>
      </c>
      <c r="T40" s="803">
        <v>0.4</v>
      </c>
      <c r="U40" s="812"/>
      <c r="V40" s="812"/>
      <c r="W40" s="812"/>
      <c r="X40" s="812"/>
      <c r="Y40" s="813"/>
      <c r="Z40" s="814"/>
      <c r="AA40" s="815"/>
      <c r="AB40" s="814"/>
      <c r="AC40" s="816"/>
      <c r="AD40" s="817"/>
      <c r="AE40" s="818" t="str">
        <f>AE38</f>
        <v>4.1303</v>
      </c>
      <c r="AF40" s="819" t="s">
        <v>528</v>
      </c>
      <c r="AG40" s="147"/>
      <c r="AH40" s="636" t="str">
        <f ca="1">IF(AND(MW&lt;1,INGTOT&lt;=SCPbest)," geldt vanaf een ingrijpende wijziging (art. 4.1332 3e lid)","")</f>
        <v/>
      </c>
      <c r="AI40" s="645"/>
      <c r="AJ40" s="269"/>
      <c r="AK40" s="626"/>
      <c r="AL40" s="147"/>
      <c r="AM40" s="655"/>
      <c r="AN40" s="834"/>
      <c r="AO40"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0"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40" s="324" t="str">
        <f t="shared" si="42"/>
        <v>De aangetoonde meetonzekerheid mag niet groter zijn dan 20% van de emissie-eis (art. 4.1312 en art. 4.1319).</v>
      </c>
      <c r="AR40"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0" s="149"/>
      <c r="AT40" s="149"/>
      <c r="AU40" s="150"/>
      <c r="AV40" s="150"/>
      <c r="AW40" s="150"/>
      <c r="AX40" s="151"/>
    </row>
    <row r="41" spans="1:50" x14ac:dyDescent="0.2">
      <c r="A41" s="295"/>
      <c r="B41" s="804">
        <f t="shared" ref="B41" ca="1" si="59">IF(AND(SUM(D41:K41,L41:M41)=COUNT(D41:K41,L41:M41),COUNT(D41:K41,L41:M41)&gt;0),ROW(B41),0)</f>
        <v>0</v>
      </c>
      <c r="C41" s="805">
        <f t="shared" ref="C41" ca="1" si="60">IF(AND(SUM(D41:K41,N41:O41)=COUNT(D41:K41,N41:O41),COUNT(D41:K41,N41:O41)&gt;0),ROW(B41),0)</f>
        <v>0</v>
      </c>
      <c r="D41" s="806">
        <f t="shared" ca="1" si="38"/>
        <v>1</v>
      </c>
      <c r="E41" s="807">
        <f t="shared" ref="E41" ca="1" si="61">IF(AND(OR($AB41="",Tdatum&gt;=$AB41,AND(AB41&lt;&gt;"",ISNUMBER(FIND("j",LOWER(AD41))))),OR($AC41="",Tdatum&lt;=$AC41)),1,0)</f>
        <v>1</v>
      </c>
      <c r="F41" s="807">
        <f t="shared" ca="1" si="24"/>
        <v>1</v>
      </c>
      <c r="G41" s="802">
        <f t="shared" ca="1" si="44"/>
        <v>1</v>
      </c>
      <c r="H41" s="802"/>
      <c r="I41" s="808"/>
      <c r="J41" s="802"/>
      <c r="K41" s="808"/>
      <c r="L41" s="802">
        <f ca="1">IF(BRAND1=2,1,0)</f>
        <v>0</v>
      </c>
      <c r="M41" s="809">
        <f t="shared" ref="M41" ca="1" si="62">IF(AND(ParBAL1&lt;&gt;"",ParBAL1=P41),1,0)</f>
        <v>1</v>
      </c>
      <c r="N41" s="802">
        <f ca="1">IF(BRAND2=2,1,0)</f>
        <v>0</v>
      </c>
      <c r="O41" s="805">
        <f t="shared" ref="O41" ca="1" si="63">IF(AND(ParBAL2&lt;&gt;"",ParBAL2=P41),1,0)</f>
        <v>0</v>
      </c>
      <c r="P41" s="810" t="s">
        <v>106</v>
      </c>
      <c r="Q41" s="803" t="s">
        <v>204</v>
      </c>
      <c r="R41" s="803" t="s">
        <v>527</v>
      </c>
      <c r="S41" s="811">
        <v>0.4</v>
      </c>
      <c r="T41" s="803"/>
      <c r="U41" s="812"/>
      <c r="V41" s="812"/>
      <c r="W41" s="812"/>
      <c r="X41" s="812"/>
      <c r="Y41" s="813"/>
      <c r="Z41" s="814"/>
      <c r="AA41" s="815"/>
      <c r="AB41" s="814"/>
      <c r="AC41" s="816"/>
      <c r="AD41" s="817"/>
      <c r="AE41" s="818" t="str">
        <f>AE39</f>
        <v>4.1303</v>
      </c>
      <c r="AF41" s="819" t="s">
        <v>127</v>
      </c>
      <c r="AG41" s="147"/>
      <c r="AH41" s="636" t="str">
        <f ca="1">IF(AND(MW&lt;1,INGTOT&lt;=SCPbest)," geldt vanaf een ingrijpende wijziging (art. 4.1332 3e lid)","")</f>
        <v/>
      </c>
      <c r="AI41" s="645"/>
      <c r="AJ41" s="269"/>
      <c r="AK41" s="626"/>
      <c r="AL41" s="147"/>
      <c r="AM41" s="655"/>
      <c r="AN41" s="834"/>
      <c r="AO41"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1"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41" s="324" t="str">
        <f t="shared" si="42"/>
        <v>De aangetoonde meetonzekerheid mag niet groter zijn dan 20% van de emissie-eis (art. 4.1312 en art. 4.1319).</v>
      </c>
      <c r="AR41"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1" s="149"/>
      <c r="AT41" s="149"/>
      <c r="AU41" s="150"/>
      <c r="AV41" s="150"/>
      <c r="AW41" s="150"/>
      <c r="AX41" s="151"/>
    </row>
    <row r="42" spans="1:50" x14ac:dyDescent="0.2">
      <c r="A42" s="295"/>
      <c r="B42" s="339">
        <f t="shared" ca="1" si="36"/>
        <v>42</v>
      </c>
      <c r="C42" s="249">
        <f t="shared" ca="1" si="37"/>
        <v>0</v>
      </c>
      <c r="D42" s="246">
        <f t="shared" ca="1" si="38"/>
        <v>1</v>
      </c>
      <c r="E42" s="247">
        <f t="shared" ca="1" si="43"/>
        <v>1</v>
      </c>
      <c r="F42" s="247">
        <f t="shared" ca="1" si="24"/>
        <v>1</v>
      </c>
      <c r="G42" s="147">
        <f t="shared" ca="1" si="44"/>
        <v>1</v>
      </c>
      <c r="H42" s="147"/>
      <c r="I42" s="148"/>
      <c r="J42" s="147"/>
      <c r="K42" s="148"/>
      <c r="L42" s="147">
        <f ca="1">IF(BRAND1=1,1,0)</f>
        <v>1</v>
      </c>
      <c r="M42" s="248">
        <f t="shared" ca="1" si="45"/>
        <v>1</v>
      </c>
      <c r="N42" s="147">
        <f ca="1">IF(BRAND2&lt;=2,1,0)</f>
        <v>0</v>
      </c>
      <c r="O42" s="249">
        <f t="shared" ca="1" si="46"/>
        <v>0</v>
      </c>
      <c r="P42" s="44" t="s">
        <v>106</v>
      </c>
      <c r="Q42" s="149" t="s">
        <v>204</v>
      </c>
      <c r="R42" s="149" t="s">
        <v>180</v>
      </c>
      <c r="S42" s="275">
        <f>S33</f>
        <v>0.40010000000000001</v>
      </c>
      <c r="T42" s="149"/>
      <c r="U42" s="150"/>
      <c r="V42" s="150"/>
      <c r="W42" s="150"/>
      <c r="X42" s="150"/>
      <c r="Y42" s="151"/>
      <c r="Z42" s="143"/>
      <c r="AA42" s="144"/>
      <c r="AB42" s="143"/>
      <c r="AC42" s="145"/>
      <c r="AD42" s="146"/>
      <c r="AE42" s="276" t="str">
        <f>AE39</f>
        <v>4.1303</v>
      </c>
      <c r="AF42" s="152" t="s">
        <v>127</v>
      </c>
      <c r="AG42" s="147"/>
      <c r="AH42" s="636" t="str">
        <f ca="1">IF(AND(MW&lt;1,INGTOT&lt;=SCPbest)," geldt vanaf een ingrijpende wijziging (art. 4.1332 3e lid)","")</f>
        <v/>
      </c>
      <c r="AI42" s="645"/>
      <c r="AJ42" s="269"/>
      <c r="AK42" s="626"/>
      <c r="AL42" s="147"/>
      <c r="AM42" s="655"/>
      <c r="AN42" s="834"/>
      <c r="AO42"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42" s="324" t="str">
        <f t="shared" si="42"/>
        <v>De aangetoonde meetonzekerheid mag niet groter zijn dan 20% van de emissie-eis (art. 4.1312 en art. 4.1319).</v>
      </c>
      <c r="AR42"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9"/>
      <c r="AT42" s="149"/>
      <c r="AU42" s="150"/>
      <c r="AV42" s="150"/>
      <c r="AW42" s="150"/>
      <c r="AX42" s="151"/>
    </row>
    <row r="43" spans="1:50" x14ac:dyDescent="0.2">
      <c r="A43" s="295"/>
      <c r="B43" s="339">
        <f t="shared" ca="1" si="36"/>
        <v>0</v>
      </c>
      <c r="C43" s="249">
        <f t="shared" ca="1" si="37"/>
        <v>0</v>
      </c>
      <c r="D43" s="246">
        <f t="shared" ca="1" si="38"/>
        <v>1</v>
      </c>
      <c r="E43" s="247">
        <f t="shared" ca="1" si="43"/>
        <v>1</v>
      </c>
      <c r="F43" s="247">
        <f t="shared" ca="1" si="24"/>
        <v>1</v>
      </c>
      <c r="G43" s="147">
        <f t="shared" ca="1" si="44"/>
        <v>1</v>
      </c>
      <c r="H43" s="147"/>
      <c r="I43" s="148"/>
      <c r="J43" s="147"/>
      <c r="K43" s="148"/>
      <c r="L43" s="147">
        <f ca="1">IF(OR(BRAND1=4,BRAND1=5),1,0)</f>
        <v>0</v>
      </c>
      <c r="M43" s="248">
        <f t="shared" ca="1" si="45"/>
        <v>1</v>
      </c>
      <c r="N43" s="147">
        <f ca="1">IF(OR(BRAND2=4,BRAND2=5),1,0)</f>
        <v>0</v>
      </c>
      <c r="O43" s="249">
        <f t="shared" ca="1" si="46"/>
        <v>0</v>
      </c>
      <c r="P43" s="44" t="s">
        <v>106</v>
      </c>
      <c r="Q43" s="149" t="s">
        <v>204</v>
      </c>
      <c r="R43" s="149" t="s">
        <v>217</v>
      </c>
      <c r="S43" s="275">
        <f>S33</f>
        <v>0.40010000000000001</v>
      </c>
      <c r="T43" s="149"/>
      <c r="U43" s="150"/>
      <c r="V43" s="150"/>
      <c r="W43" s="150"/>
      <c r="X43" s="150"/>
      <c r="Y43" s="151"/>
      <c r="Z43" s="143"/>
      <c r="AA43" s="144"/>
      <c r="AB43" s="143"/>
      <c r="AC43" s="145"/>
      <c r="AD43" s="146"/>
      <c r="AE43" s="276" t="str">
        <f t="shared" si="48"/>
        <v>4.1303</v>
      </c>
      <c r="AF43" s="152" t="s">
        <v>218</v>
      </c>
      <c r="AG43" s="147"/>
      <c r="AH43" s="636" t="str">
        <f ca="1">IF(AND(MW&lt;1,INGTOT&lt;=SCPbest)," geldt vanaf een ingrijpende wijziging (art. 4.1332 3e lid)","")</f>
        <v/>
      </c>
      <c r="AI43" s="645"/>
      <c r="AJ43" s="269"/>
      <c r="AK43" s="626"/>
      <c r="AL43" s="147"/>
      <c r="AM43" s="655"/>
      <c r="AN43" s="834"/>
      <c r="AO43"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43" s="324" t="str">
        <f t="shared" si="42"/>
        <v>De aangetoonde meetonzekerheid mag niet groter zijn dan 20% van de emissie-eis (art. 4.1312 en art. 4.1319).</v>
      </c>
      <c r="AR43"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9"/>
      <c r="AT43" s="149"/>
      <c r="AU43" s="150"/>
      <c r="AV43" s="150"/>
      <c r="AW43" s="150"/>
      <c r="AX43" s="151"/>
    </row>
    <row r="44" spans="1:50" x14ac:dyDescent="0.2">
      <c r="A44" s="295"/>
      <c r="B44" s="339">
        <f t="shared" ca="1" si="36"/>
        <v>0</v>
      </c>
      <c r="C44" s="249">
        <f t="shared" ca="1" si="37"/>
        <v>0</v>
      </c>
      <c r="D44" s="246">
        <f t="shared" ca="1" si="38"/>
        <v>1</v>
      </c>
      <c r="E44" s="247">
        <f t="shared" ca="1" si="43"/>
        <v>1</v>
      </c>
      <c r="F44" s="247">
        <f t="shared" ca="1" si="24"/>
        <v>1</v>
      </c>
      <c r="G44" s="147">
        <f ca="1">IF(SI=3,1,0)</f>
        <v>0</v>
      </c>
      <c r="H44" s="147"/>
      <c r="I44" s="148"/>
      <c r="J44" s="147"/>
      <c r="K44" s="148"/>
      <c r="L44" s="147">
        <f ca="1">IF(FBRAND1="l",1,0)</f>
        <v>0</v>
      </c>
      <c r="M44" s="248">
        <f t="shared" ca="1" si="45"/>
        <v>1</v>
      </c>
      <c r="N44" s="147">
        <f ca="1">IF(FBRAND2="l",1,0)</f>
        <v>0</v>
      </c>
      <c r="O44" s="249">
        <f t="shared" ca="1" si="46"/>
        <v>0</v>
      </c>
      <c r="P44" s="44" t="s">
        <v>106</v>
      </c>
      <c r="Q44" s="149" t="s">
        <v>270</v>
      </c>
      <c r="R44" s="149" t="s">
        <v>173</v>
      </c>
      <c r="S44" s="275">
        <v>0.1</v>
      </c>
      <c r="T44" s="149"/>
      <c r="U44" s="150"/>
      <c r="V44" s="150"/>
      <c r="W44" s="150"/>
      <c r="X44" s="150"/>
      <c r="Y44" s="151"/>
      <c r="Z44" s="143"/>
      <c r="AA44" s="144"/>
      <c r="AB44" s="143"/>
      <c r="AC44" s="145"/>
      <c r="AD44" s="146"/>
      <c r="AE44" s="277" t="s">
        <v>219</v>
      </c>
      <c r="AF44" s="152" t="s">
        <v>160</v>
      </c>
      <c r="AG44" s="147"/>
      <c r="AH44" s="636"/>
      <c r="AI44" s="645"/>
      <c r="AJ44" s="269"/>
      <c r="AK44" s="626"/>
      <c r="AL44" s="147"/>
      <c r="AM44" s="655"/>
      <c r="AN44" s="834"/>
      <c r="AO44"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44" s="324" t="str">
        <f t="shared" si="42"/>
        <v>De aangetoonde meetonzekerheid mag niet groter zijn dan 20% van de emissie-eis (art. 4.1312 en art. 4.1319).</v>
      </c>
      <c r="AR44"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9"/>
      <c r="AT44" s="149"/>
      <c r="AU44" s="150"/>
      <c r="AV44" s="150"/>
      <c r="AW44" s="150"/>
      <c r="AX44" s="151"/>
    </row>
    <row r="45" spans="1:50" x14ac:dyDescent="0.2">
      <c r="A45" s="295"/>
      <c r="B45" s="339">
        <f t="shared" ca="1" si="36"/>
        <v>0</v>
      </c>
      <c r="C45" s="249">
        <f t="shared" ca="1" si="37"/>
        <v>0</v>
      </c>
      <c r="D45" s="246">
        <f t="shared" ca="1" si="38"/>
        <v>1</v>
      </c>
      <c r="E45" s="247">
        <f t="shared" ca="1" si="43"/>
        <v>1</v>
      </c>
      <c r="F45" s="247">
        <f t="shared" ca="1" si="24"/>
        <v>1</v>
      </c>
      <c r="G45" s="147">
        <f ca="1">IF(SI=3,1,0)</f>
        <v>0</v>
      </c>
      <c r="H45" s="147"/>
      <c r="I45" s="148"/>
      <c r="J45" s="147"/>
      <c r="K45" s="148"/>
      <c r="L45" s="776">
        <f ca="1">IF(BRAND1&lt;=2,1,0)</f>
        <v>1</v>
      </c>
      <c r="M45" s="248">
        <f t="shared" ca="1" si="45"/>
        <v>1</v>
      </c>
      <c r="N45" s="776">
        <f ca="1">IF(BRAND2&lt;=2,1,0)</f>
        <v>0</v>
      </c>
      <c r="O45" s="249">
        <f t="shared" ca="1" si="46"/>
        <v>0</v>
      </c>
      <c r="P45" s="44" t="s">
        <v>106</v>
      </c>
      <c r="Q45" s="149" t="s">
        <v>270</v>
      </c>
      <c r="R45" s="149" t="s">
        <v>523</v>
      </c>
      <c r="S45" s="275">
        <v>0.1</v>
      </c>
      <c r="T45" s="149"/>
      <c r="U45" s="150"/>
      <c r="V45" s="150"/>
      <c r="W45" s="150"/>
      <c r="X45" s="150"/>
      <c r="Y45" s="151"/>
      <c r="Z45" s="143"/>
      <c r="AA45" s="144"/>
      <c r="AB45" s="143"/>
      <c r="AC45" s="145"/>
      <c r="AD45" s="146"/>
      <c r="AE45" s="276" t="str">
        <f>AE44</f>
        <v>4.1304</v>
      </c>
      <c r="AF45" s="152" t="s">
        <v>160</v>
      </c>
      <c r="AG45" s="147"/>
      <c r="AH45" s="636"/>
      <c r="AI45" s="645"/>
      <c r="AJ45" s="269"/>
      <c r="AK45" s="626"/>
      <c r="AL45" s="147"/>
      <c r="AM45" s="655"/>
      <c r="AN45" s="834"/>
      <c r="AO45"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5"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45" s="324" t="str">
        <f t="shared" si="42"/>
        <v>De aangetoonde meetonzekerheid mag niet groter zijn dan 20% van de emissie-eis (art. 4.1312 en art. 4.1319).</v>
      </c>
      <c r="AR45"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5" s="149"/>
      <c r="AT45" s="149"/>
      <c r="AU45" s="150"/>
      <c r="AV45" s="150"/>
      <c r="AW45" s="150"/>
      <c r="AX45" s="151"/>
    </row>
    <row r="46" spans="1:50" x14ac:dyDescent="0.2">
      <c r="A46" s="295"/>
      <c r="B46" s="339">
        <f t="shared" ca="1" si="36"/>
        <v>0</v>
      </c>
      <c r="C46" s="249">
        <f t="shared" ca="1" si="37"/>
        <v>0</v>
      </c>
      <c r="D46" s="246">
        <f t="shared" ca="1" si="38"/>
        <v>1</v>
      </c>
      <c r="E46" s="247">
        <f t="shared" ca="1" si="43"/>
        <v>1</v>
      </c>
      <c r="F46" s="247">
        <f t="shared" ca="1" si="24"/>
        <v>1</v>
      </c>
      <c r="G46" s="147">
        <f ca="1">IF(SI=3,1,0)</f>
        <v>0</v>
      </c>
      <c r="H46" s="147"/>
      <c r="I46" s="148"/>
      <c r="J46" s="147"/>
      <c r="K46" s="148"/>
      <c r="L46" s="776">
        <f ca="1">IF(AND(BRAND1&gt;2,BRAND1&lt;=5),1,0)</f>
        <v>0</v>
      </c>
      <c r="M46" s="248">
        <f t="shared" ca="1" si="45"/>
        <v>1</v>
      </c>
      <c r="N46" s="776">
        <f ca="1">IF(AND(BRAND2&gt;=3,BRAND2&lt;=5),1,0)</f>
        <v>0</v>
      </c>
      <c r="O46" s="249">
        <f t="shared" ca="1" si="46"/>
        <v>0</v>
      </c>
      <c r="P46" s="44" t="s">
        <v>106</v>
      </c>
      <c r="Q46" s="149" t="s">
        <v>270</v>
      </c>
      <c r="R46" s="149" t="s">
        <v>220</v>
      </c>
      <c r="S46" s="275">
        <v>0.1</v>
      </c>
      <c r="T46" s="149"/>
      <c r="U46" s="150"/>
      <c r="V46" s="150"/>
      <c r="W46" s="150"/>
      <c r="X46" s="150"/>
      <c r="Y46" s="151"/>
      <c r="Z46" s="143"/>
      <c r="AA46" s="144"/>
      <c r="AB46" s="143"/>
      <c r="AC46" s="145"/>
      <c r="AD46" s="146"/>
      <c r="AE46" s="276" t="str">
        <f>AE45</f>
        <v>4.1304</v>
      </c>
      <c r="AF46" s="152" t="s">
        <v>160</v>
      </c>
      <c r="AG46" s="147"/>
      <c r="AH46" s="636"/>
      <c r="AI46" s="645"/>
      <c r="AJ46" s="269"/>
      <c r="AK46" s="626"/>
      <c r="AL46" s="147"/>
      <c r="AM46" s="655"/>
      <c r="AN46" s="834"/>
      <c r="AO46"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6"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46" s="324" t="str">
        <f t="shared" si="42"/>
        <v>De aangetoonde meetonzekerheid mag niet groter zijn dan 20% van de emissie-eis (art. 4.1312 en art. 4.1319).</v>
      </c>
      <c r="AR46"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6" s="149"/>
      <c r="AT46" s="149"/>
      <c r="AU46" s="150"/>
      <c r="AV46" s="150"/>
      <c r="AW46" s="150"/>
      <c r="AX46" s="151"/>
    </row>
    <row r="47" spans="1:50" x14ac:dyDescent="0.2">
      <c r="A47" s="295"/>
      <c r="B47" s="339">
        <f t="shared" ca="1" si="36"/>
        <v>0</v>
      </c>
      <c r="C47" s="249">
        <f t="shared" ca="1" si="37"/>
        <v>0</v>
      </c>
      <c r="D47" s="246">
        <f t="shared" ca="1" si="38"/>
        <v>1</v>
      </c>
      <c r="E47" s="247">
        <f t="shared" ca="1" si="43"/>
        <v>1</v>
      </c>
      <c r="F47" s="247">
        <f t="shared" ca="1" si="24"/>
        <v>0</v>
      </c>
      <c r="G47" s="147">
        <f ca="1">IF(SI=5,1,0)</f>
        <v>0</v>
      </c>
      <c r="H47" s="147"/>
      <c r="I47" s="148"/>
      <c r="J47" s="147"/>
      <c r="K47" s="148"/>
      <c r="L47" s="147">
        <f ca="1">IF(OR(FBRAND1="g",FBRAND1="l"),1,0)</f>
        <v>1</v>
      </c>
      <c r="M47" s="248">
        <f t="shared" ca="1" si="45"/>
        <v>1</v>
      </c>
      <c r="N47" s="147">
        <f ca="1">IF(OR(FBRAND1="g",FBRAND1="l"),1,0)</f>
        <v>1</v>
      </c>
      <c r="O47" s="249">
        <f t="shared" ca="1" si="46"/>
        <v>0</v>
      </c>
      <c r="P47" s="44" t="s">
        <v>106</v>
      </c>
      <c r="Q47" s="149" t="s">
        <v>221</v>
      </c>
      <c r="R47" s="149" t="s">
        <v>223</v>
      </c>
      <c r="S47" s="275">
        <v>0.1</v>
      </c>
      <c r="T47" s="149">
        <v>5</v>
      </c>
      <c r="U47" s="150"/>
      <c r="V47" s="150"/>
      <c r="W47" s="150"/>
      <c r="X47" s="150"/>
      <c r="Y47" s="151"/>
      <c r="Z47" s="143"/>
      <c r="AA47" s="144"/>
      <c r="AB47" s="143"/>
      <c r="AC47" s="145"/>
      <c r="AD47" s="146"/>
      <c r="AE47" s="276" t="s">
        <v>225</v>
      </c>
      <c r="AF47" s="152" t="s">
        <v>164</v>
      </c>
      <c r="AG47" s="147"/>
      <c r="AH47" s="636"/>
      <c r="AI47" s="645"/>
      <c r="AJ47" s="269"/>
      <c r="AK47" s="631" t="str">
        <f ca="1">IF(AND(Offshore,MW&lt;0.6),"4.1306","")</f>
        <v/>
      </c>
      <c r="AL47" s="147"/>
      <c r="AM47" s="655"/>
      <c r="AN47" s="834"/>
      <c r="AO47"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7"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47" s="324" t="str">
        <f t="shared" si="42"/>
        <v>De aangetoonde meetonzekerheid mag niet groter zijn dan 20% van de emissie-eis (art. 4.1312 en art. 4.1319).</v>
      </c>
      <c r="AR47"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7" s="149"/>
      <c r="AT47" s="149"/>
      <c r="AU47" s="150"/>
      <c r="AV47" s="150"/>
      <c r="AW47" s="150"/>
      <c r="AX47" s="151"/>
    </row>
    <row r="48" spans="1:50" x14ac:dyDescent="0.2">
      <c r="A48" s="295"/>
      <c r="B48" s="339">
        <f t="shared" ca="1" si="36"/>
        <v>0</v>
      </c>
      <c r="C48" s="249">
        <f t="shared" ca="1" si="37"/>
        <v>0</v>
      </c>
      <c r="D48" s="246">
        <f t="shared" ca="1" si="38"/>
        <v>1</v>
      </c>
      <c r="E48" s="247">
        <f t="shared" ca="1" si="43"/>
        <v>1</v>
      </c>
      <c r="F48" s="247">
        <f t="shared" ca="1" si="24"/>
        <v>1</v>
      </c>
      <c r="G48" s="147">
        <f ca="1">IF(SI=5,1,0)</f>
        <v>0</v>
      </c>
      <c r="H48" s="147"/>
      <c r="I48" s="148"/>
      <c r="J48" s="147"/>
      <c r="K48" s="148"/>
      <c r="L48" s="147">
        <f ca="1">IF(OR(FBRAND1="g",FBRAND1="l"),1,0)</f>
        <v>1</v>
      </c>
      <c r="M48" s="248">
        <f t="shared" ca="1" si="45"/>
        <v>1</v>
      </c>
      <c r="N48" s="147">
        <f ca="1">IF(OR(FBRAND1="g",FBRAND1="l"),1,0)</f>
        <v>1</v>
      </c>
      <c r="O48" s="249">
        <f t="shared" ca="1" si="46"/>
        <v>0</v>
      </c>
      <c r="P48" s="44" t="s">
        <v>106</v>
      </c>
      <c r="Q48" s="149" t="s">
        <v>221</v>
      </c>
      <c r="R48" s="149" t="s">
        <v>223</v>
      </c>
      <c r="S48" s="149">
        <v>5</v>
      </c>
      <c r="T48" s="149"/>
      <c r="U48" s="150"/>
      <c r="V48" s="150"/>
      <c r="W48" s="150"/>
      <c r="X48" s="150"/>
      <c r="Y48" s="151"/>
      <c r="Z48" s="143"/>
      <c r="AA48" s="144"/>
      <c r="AB48" s="143"/>
      <c r="AC48" s="145"/>
      <c r="AD48" s="146"/>
      <c r="AE48" s="276" t="str">
        <f>AE47</f>
        <v>4.1305</v>
      </c>
      <c r="AF48" s="152" t="s">
        <v>164</v>
      </c>
      <c r="AG48" s="147"/>
      <c r="AH48" s="636"/>
      <c r="AI48" s="645"/>
      <c r="AJ48" s="269"/>
      <c r="AK48" s="626"/>
      <c r="AL48" s="147"/>
      <c r="AM48" s="655"/>
      <c r="AN48" s="834"/>
      <c r="AO48"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8"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48" s="324" t="str">
        <f t="shared" si="42"/>
        <v>De aangetoonde meetonzekerheid mag niet groter zijn dan 20% van de emissie-eis (art. 4.1312 en art. 4.1319).</v>
      </c>
      <c r="AR48"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8" s="149"/>
      <c r="AT48" s="149"/>
      <c r="AU48" s="150"/>
      <c r="AV48" s="150"/>
      <c r="AW48" s="150"/>
      <c r="AX48" s="151"/>
    </row>
    <row r="49" spans="1:50" x14ac:dyDescent="0.2">
      <c r="A49" s="295"/>
      <c r="B49" s="339">
        <f t="shared" ca="1" si="36"/>
        <v>0</v>
      </c>
      <c r="C49" s="249">
        <f t="shared" ca="1" si="37"/>
        <v>0</v>
      </c>
      <c r="D49" s="246">
        <f t="shared" ca="1" si="38"/>
        <v>1</v>
      </c>
      <c r="E49" s="247">
        <f t="shared" ca="1" si="43"/>
        <v>1</v>
      </c>
      <c r="F49" s="247">
        <f t="shared" ca="1" si="24"/>
        <v>0</v>
      </c>
      <c r="G49" s="147">
        <f t="shared" ref="G49:G54" ca="1" si="64">IF(SI=4,1,0)</f>
        <v>0</v>
      </c>
      <c r="H49" s="147"/>
      <c r="I49" s="148"/>
      <c r="J49" s="147"/>
      <c r="K49" s="148"/>
      <c r="L49" s="802">
        <f ca="1">IF(BRAND1=1,1,0)</f>
        <v>1</v>
      </c>
      <c r="M49" s="248">
        <f t="shared" ca="1" si="45"/>
        <v>1</v>
      </c>
      <c r="N49" s="802">
        <f ca="1">IF(BRAND2=1,1,0)</f>
        <v>0</v>
      </c>
      <c r="O49" s="249">
        <f t="shared" ca="1" si="46"/>
        <v>0</v>
      </c>
      <c r="P49" s="44" t="s">
        <v>106</v>
      </c>
      <c r="Q49" s="149" t="s">
        <v>188</v>
      </c>
      <c r="R49" s="149" t="s">
        <v>180</v>
      </c>
      <c r="S49" s="149">
        <v>0.1</v>
      </c>
      <c r="T49" s="149">
        <v>1</v>
      </c>
      <c r="U49" s="150"/>
      <c r="V49" s="150"/>
      <c r="W49" s="150"/>
      <c r="X49" s="150"/>
      <c r="Y49" s="151"/>
      <c r="Z49" s="143"/>
      <c r="AA49" s="144"/>
      <c r="AB49" s="143"/>
      <c r="AC49" s="145"/>
      <c r="AD49" s="146"/>
      <c r="AE49" s="276" t="s">
        <v>224</v>
      </c>
      <c r="AF49" s="152" t="s">
        <v>227</v>
      </c>
      <c r="AG49" s="147"/>
      <c r="AH49" s="636"/>
      <c r="AI49" s="645"/>
      <c r="AJ49" s="269"/>
      <c r="AK49" s="626"/>
      <c r="AL49" s="147"/>
      <c r="AM49" s="655"/>
      <c r="AN49" s="834"/>
      <c r="AO49"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49" s="324" t="str">
        <f t="shared" si="42"/>
        <v>De aangetoonde meetonzekerheid mag niet groter zijn dan 20% van de emissie-eis (art. 4.1312 en art. 4.1319).</v>
      </c>
      <c r="AR49"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9" s="149"/>
      <c r="AT49" s="149"/>
      <c r="AU49" s="150"/>
      <c r="AV49" s="150"/>
      <c r="AW49" s="150"/>
      <c r="AX49" s="151"/>
    </row>
    <row r="50" spans="1:50" x14ac:dyDescent="0.2">
      <c r="A50" s="295"/>
      <c r="B50" s="339">
        <f t="shared" ref="B50" ca="1" si="65">IF(AND(SUM(D50:K50,L50:M50)=COUNT(D50:K50,L50:M50),COUNT(D50:K50,L50:M50)&gt;0),ROW(B50),0)</f>
        <v>0</v>
      </c>
      <c r="C50" s="249">
        <f t="shared" ref="C50" ca="1" si="66">IF(AND(SUM(D50:K50,N50:O50)=COUNT(D50:K50,N50:O50),COUNT(D50:K50,N50:O50)&gt;0),ROW(B50),0)</f>
        <v>0</v>
      </c>
      <c r="D50" s="246">
        <f t="shared" ca="1" si="38"/>
        <v>1</v>
      </c>
      <c r="E50" s="247">
        <f t="shared" ref="E50" ca="1" si="67">IF(AND(OR($AB50="",Tdatum&gt;=$AB50,AND(AB50&lt;&gt;"",ISNUMBER(FIND("j",LOWER(AD50))))),OR($AC50="",Tdatum&lt;=$AC50)),1,0)</f>
        <v>1</v>
      </c>
      <c r="F50" s="247">
        <f t="shared" ca="1" si="24"/>
        <v>0</v>
      </c>
      <c r="G50" s="147">
        <f t="shared" ca="1" si="64"/>
        <v>0</v>
      </c>
      <c r="H50" s="147"/>
      <c r="I50" s="148"/>
      <c r="J50" s="147"/>
      <c r="K50" s="148"/>
      <c r="L50" s="802">
        <f ca="1">IF(BRAND1=1,1,0)</f>
        <v>1</v>
      </c>
      <c r="M50" s="248">
        <f t="shared" ref="M50" ca="1" si="68">IF(AND(ParBAL1&lt;&gt;"",ParBAL1=P50),1,0)</f>
        <v>1</v>
      </c>
      <c r="N50" s="802">
        <f ca="1">IF(BRAND2=1,1,0)</f>
        <v>0</v>
      </c>
      <c r="O50" s="249">
        <f t="shared" ref="O50" ca="1" si="69">IF(AND(ParBAL2&lt;&gt;"",ParBAL2=P50),1,0)</f>
        <v>0</v>
      </c>
      <c r="P50" s="44" t="s">
        <v>106</v>
      </c>
      <c r="Q50" s="149" t="s">
        <v>188</v>
      </c>
      <c r="R50" s="149" t="s">
        <v>180</v>
      </c>
      <c r="S50" s="149">
        <v>1</v>
      </c>
      <c r="T50" s="149">
        <v>2.5</v>
      </c>
      <c r="U50" s="150"/>
      <c r="V50" s="150"/>
      <c r="W50" s="150"/>
      <c r="X50" s="150"/>
      <c r="Y50" s="151"/>
      <c r="Z50" s="143"/>
      <c r="AA50" s="144"/>
      <c r="AB50" s="143"/>
      <c r="AC50" s="145"/>
      <c r="AD50" s="146"/>
      <c r="AE50" s="276" t="s">
        <v>224</v>
      </c>
      <c r="AF50" s="152" t="s">
        <v>226</v>
      </c>
      <c r="AG50" s="147"/>
      <c r="AH50" s="636"/>
      <c r="AI50" s="645"/>
      <c r="AJ50" s="269"/>
      <c r="AK50" s="626"/>
      <c r="AL50" s="147"/>
      <c r="AM50" s="655"/>
      <c r="AN50" s="834"/>
      <c r="AO50"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50" s="324" t="str">
        <f t="shared" si="42"/>
        <v>De aangetoonde meetonzekerheid mag niet groter zijn dan 20% van de emissie-eis (art. 4.1312 en art. 4.1319).</v>
      </c>
      <c r="AR50"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9"/>
      <c r="AT50" s="149"/>
      <c r="AU50" s="150"/>
      <c r="AV50" s="150"/>
      <c r="AW50" s="150"/>
      <c r="AX50" s="151"/>
    </row>
    <row r="51" spans="1:50" x14ac:dyDescent="0.2">
      <c r="A51" s="295"/>
      <c r="B51" s="339">
        <f t="shared" ca="1" si="36"/>
        <v>0</v>
      </c>
      <c r="C51" s="249">
        <f t="shared" ca="1" si="37"/>
        <v>0</v>
      </c>
      <c r="D51" s="246">
        <f t="shared" ca="1" si="38"/>
        <v>1</v>
      </c>
      <c r="E51" s="247">
        <f t="shared" ca="1" si="43"/>
        <v>1</v>
      </c>
      <c r="F51" s="247">
        <f t="shared" ca="1" si="24"/>
        <v>0</v>
      </c>
      <c r="G51" s="147">
        <f t="shared" ca="1" si="64"/>
        <v>0</v>
      </c>
      <c r="H51" s="147"/>
      <c r="I51" s="148"/>
      <c r="J51" s="147"/>
      <c r="K51" s="148"/>
      <c r="L51" s="776">
        <f ca="1">IF(BRAND1&lt;=2,1,0)</f>
        <v>1</v>
      </c>
      <c r="M51" s="248">
        <f t="shared" ca="1" si="45"/>
        <v>1</v>
      </c>
      <c r="N51" s="776">
        <f ca="1">IF(OR(BRAND2=4,BRAND2=5),1,0)</f>
        <v>0</v>
      </c>
      <c r="O51" s="249">
        <f t="shared" ca="1" si="46"/>
        <v>0</v>
      </c>
      <c r="P51" s="44" t="s">
        <v>106</v>
      </c>
      <c r="Q51" s="149" t="s">
        <v>188</v>
      </c>
      <c r="R51" s="149" t="s">
        <v>217</v>
      </c>
      <c r="S51" s="149">
        <v>0.1</v>
      </c>
      <c r="T51" s="149">
        <v>2.5</v>
      </c>
      <c r="U51" s="150"/>
      <c r="V51" s="150"/>
      <c r="W51" s="150"/>
      <c r="X51" s="150"/>
      <c r="Y51" s="151"/>
      <c r="Z51" s="143"/>
      <c r="AA51" s="144"/>
      <c r="AB51" s="143"/>
      <c r="AC51" s="145"/>
      <c r="AD51" s="146"/>
      <c r="AE51" s="276" t="s">
        <v>224</v>
      </c>
      <c r="AF51" s="152" t="s">
        <v>227</v>
      </c>
      <c r="AG51" s="147"/>
      <c r="AH51" s="636"/>
      <c r="AI51" s="645"/>
      <c r="AJ51" s="269"/>
      <c r="AK51" s="626"/>
      <c r="AL51" s="147"/>
      <c r="AM51" s="655"/>
      <c r="AN51" s="834"/>
      <c r="AO51"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51" s="324" t="str">
        <f t="shared" si="42"/>
        <v>De aangetoonde meetonzekerheid mag niet groter zijn dan 20% van de emissie-eis (art. 4.1312 en art. 4.1319).</v>
      </c>
      <c r="AR51"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9"/>
      <c r="AT51" s="149"/>
      <c r="AU51" s="150"/>
      <c r="AV51" s="150"/>
      <c r="AW51" s="150"/>
      <c r="AX51" s="151"/>
    </row>
    <row r="52" spans="1:50" x14ac:dyDescent="0.2">
      <c r="A52" s="295"/>
      <c r="B52" s="339">
        <f t="shared" ca="1" si="36"/>
        <v>0</v>
      </c>
      <c r="C52" s="249">
        <f t="shared" ca="1" si="37"/>
        <v>0</v>
      </c>
      <c r="D52" s="246">
        <f t="shared" ca="1" si="38"/>
        <v>1</v>
      </c>
      <c r="E52" s="247">
        <f t="shared" ca="1" si="43"/>
        <v>1</v>
      </c>
      <c r="F52" s="247">
        <f t="shared" ca="1" si="24"/>
        <v>1</v>
      </c>
      <c r="G52" s="147">
        <f t="shared" ca="1" si="64"/>
        <v>0</v>
      </c>
      <c r="H52" s="147"/>
      <c r="I52" s="148"/>
      <c r="J52" s="147"/>
      <c r="K52" s="148"/>
      <c r="L52" s="147">
        <f ca="1">IF(AND(BRAND1&lt;&gt;3,FBRAND1="g"),1,0)</f>
        <v>1</v>
      </c>
      <c r="M52" s="248">
        <f t="shared" ca="1" si="45"/>
        <v>1</v>
      </c>
      <c r="N52" s="147">
        <f ca="1">IF(AND(BRAND2&lt;&gt;3,FBRAND2="g"),1,0)</f>
        <v>0</v>
      </c>
      <c r="O52" s="249">
        <f t="shared" ca="1" si="46"/>
        <v>0</v>
      </c>
      <c r="P52" s="44" t="s">
        <v>106</v>
      </c>
      <c r="Q52" s="149" t="s">
        <v>188</v>
      </c>
      <c r="R52" s="149" t="s">
        <v>228</v>
      </c>
      <c r="S52" s="149">
        <v>2.5</v>
      </c>
      <c r="T52" s="149"/>
      <c r="U52" s="150"/>
      <c r="V52" s="150"/>
      <c r="W52" s="150"/>
      <c r="X52" s="150"/>
      <c r="Y52" s="151"/>
      <c r="Z52" s="143"/>
      <c r="AA52" s="144"/>
      <c r="AB52" s="143"/>
      <c r="AC52" s="145"/>
      <c r="AD52" s="146"/>
      <c r="AE52" s="276" t="s">
        <v>224</v>
      </c>
      <c r="AF52" s="152" t="s">
        <v>176</v>
      </c>
      <c r="AG52" s="147"/>
      <c r="AH52" s="636"/>
      <c r="AI52" s="645"/>
      <c r="AJ52" s="269"/>
      <c r="AK52" s="626"/>
      <c r="AL52" s="147"/>
      <c r="AM52" s="655"/>
      <c r="AN52" s="834"/>
      <c r="AO52"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52" s="324" t="str">
        <f t="shared" si="42"/>
        <v>De aangetoonde meetonzekerheid mag niet groter zijn dan 20% van de emissie-eis (art. 4.1312 en art. 4.1319).</v>
      </c>
      <c r="AR52"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9"/>
      <c r="AT52" s="149"/>
      <c r="AU52" s="150"/>
      <c r="AV52" s="150"/>
      <c r="AW52" s="150"/>
      <c r="AX52" s="151"/>
    </row>
    <row r="53" spans="1:50" x14ac:dyDescent="0.2">
      <c r="A53" s="295"/>
      <c r="B53" s="339">
        <f t="shared" ca="1" si="36"/>
        <v>0</v>
      </c>
      <c r="C53" s="249">
        <f t="shared" ca="1" si="37"/>
        <v>0</v>
      </c>
      <c r="D53" s="246">
        <f t="shared" ca="1" si="38"/>
        <v>1</v>
      </c>
      <c r="E53" s="247">
        <f t="shared" ca="1" si="43"/>
        <v>1</v>
      </c>
      <c r="F53" s="247">
        <f t="shared" ca="1" si="24"/>
        <v>1</v>
      </c>
      <c r="G53" s="147">
        <f t="shared" ca="1" si="64"/>
        <v>0</v>
      </c>
      <c r="H53" s="147"/>
      <c r="I53" s="148"/>
      <c r="J53" s="147"/>
      <c r="K53" s="148"/>
      <c r="L53" s="147">
        <f ca="1">IF(BRAND1=3,1,0)</f>
        <v>0</v>
      </c>
      <c r="M53" s="248">
        <f t="shared" ca="1" si="45"/>
        <v>1</v>
      </c>
      <c r="N53" s="147">
        <f ca="1">IF(BRAND2=3,1,0)</f>
        <v>0</v>
      </c>
      <c r="O53" s="249">
        <f t="shared" ca="1" si="46"/>
        <v>0</v>
      </c>
      <c r="P53" s="44" t="s">
        <v>106</v>
      </c>
      <c r="Q53" s="149" t="s">
        <v>188</v>
      </c>
      <c r="R53" s="149" t="s">
        <v>215</v>
      </c>
      <c r="S53" s="149">
        <v>0.1</v>
      </c>
      <c r="T53" s="149"/>
      <c r="U53" s="150"/>
      <c r="V53" s="150"/>
      <c r="W53" s="150"/>
      <c r="X53" s="150"/>
      <c r="Y53" s="151"/>
      <c r="Z53" s="143"/>
      <c r="AA53" s="144"/>
      <c r="AB53" s="143"/>
      <c r="AC53" s="145"/>
      <c r="AD53" s="146"/>
      <c r="AE53" s="276" t="s">
        <v>224</v>
      </c>
      <c r="AF53" s="152" t="s">
        <v>227</v>
      </c>
      <c r="AG53" s="147"/>
      <c r="AH53" s="636"/>
      <c r="AI53" s="645"/>
      <c r="AJ53" s="269"/>
      <c r="AK53" s="626"/>
      <c r="AL53" s="147"/>
      <c r="AM53" s="655"/>
      <c r="AN53" s="834"/>
      <c r="AO53"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3"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53" s="324" t="str">
        <f t="shared" si="42"/>
        <v>De aangetoonde meetonzekerheid mag niet groter zijn dan 20% van de emissie-eis (art. 4.1312 en art. 4.1319).</v>
      </c>
      <c r="AR53"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3" s="149"/>
      <c r="AT53" s="149"/>
      <c r="AU53" s="150"/>
      <c r="AV53" s="150"/>
      <c r="AW53" s="150"/>
      <c r="AX53" s="151"/>
    </row>
    <row r="54" spans="1:50" s="827" customFormat="1" x14ac:dyDescent="0.2">
      <c r="A54" s="820"/>
      <c r="B54" s="804">
        <f t="shared" ref="B54" ca="1" si="70">IF(AND(SUM(D54:K54,L54:M54)=COUNT(D54:K54,L54:M54),COUNT(D54:K54,L54:M54)&gt;0),ROW(B54),0)</f>
        <v>0</v>
      </c>
      <c r="C54" s="805">
        <f t="shared" ref="C54" ca="1" si="71">IF(AND(SUM(D54:K54,N54:O54)=COUNT(D54:K54,N54:O54),COUNT(D54:K54,N54:O54)&gt;0),ROW(B54),0)</f>
        <v>0</v>
      </c>
      <c r="D54" s="806">
        <f t="shared" ca="1" si="38"/>
        <v>1</v>
      </c>
      <c r="E54" s="807">
        <f t="shared" ref="E54" ca="1" si="72">IF(AND(OR($AB54="",Tdatum&gt;=$AB54,AND(AB54&lt;&gt;"",ISNUMBER(FIND("j",LOWER(AD54))))),OR($AC54="",Tdatum&lt;=$AC54)),1,0)</f>
        <v>1</v>
      </c>
      <c r="F54" s="807">
        <f t="shared" ca="1" si="24"/>
        <v>1</v>
      </c>
      <c r="G54" s="802">
        <f t="shared" ca="1" si="64"/>
        <v>0</v>
      </c>
      <c r="H54" s="802"/>
      <c r="I54" s="808"/>
      <c r="J54" s="802"/>
      <c r="K54" s="808"/>
      <c r="L54" s="802">
        <f ca="1">IF(BRAND1=2,1,0)</f>
        <v>0</v>
      </c>
      <c r="M54" s="809">
        <f t="shared" ref="M54" ca="1" si="73">IF(AND(ParBAL1&lt;&gt;"",ParBAL1=P54),1,0)</f>
        <v>1</v>
      </c>
      <c r="N54" s="802">
        <f ca="1">IF(BRAND2=2,1,0)</f>
        <v>0</v>
      </c>
      <c r="O54" s="805">
        <f t="shared" ref="O54" ca="1" si="74">IF(AND(ParBAL2&lt;&gt;"",ParBAL2=P54),1,0)</f>
        <v>0</v>
      </c>
      <c r="P54" s="810" t="s">
        <v>106</v>
      </c>
      <c r="Q54" s="803" t="s">
        <v>188</v>
      </c>
      <c r="R54" s="803" t="s">
        <v>524</v>
      </c>
      <c r="S54" s="803">
        <v>0.1</v>
      </c>
      <c r="T54" s="803"/>
      <c r="U54" s="812"/>
      <c r="V54" s="812"/>
      <c r="W54" s="812"/>
      <c r="X54" s="812"/>
      <c r="Y54" s="813"/>
      <c r="Z54" s="814"/>
      <c r="AA54" s="815"/>
      <c r="AB54" s="814"/>
      <c r="AC54" s="816"/>
      <c r="AD54" s="817"/>
      <c r="AE54" s="818" t="s">
        <v>224</v>
      </c>
      <c r="AF54" s="819" t="s">
        <v>176</v>
      </c>
      <c r="AG54" s="802"/>
      <c r="AH54" s="821"/>
      <c r="AI54" s="822"/>
      <c r="AJ54" s="823"/>
      <c r="AK54" s="824"/>
      <c r="AL54" s="802"/>
      <c r="AM54" s="825"/>
      <c r="AN54" s="840"/>
      <c r="AO54" s="803"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4" s="826" t="str">
        <f t="shared" si="42"/>
        <v xml:space="preserve">Een periodieke meting bestaat uit drie deelmetingen van 15-30 minuten. De metingen mogen worden uitgevoerd door een geaccrediteerd laboratorium volgens NEN-EN 14792 of door een SCIOS gecertificeerd bedrijf volgens scope 6 (art. 4.1312). </v>
      </c>
      <c r="AQ54" s="826" t="str">
        <f t="shared" si="42"/>
        <v>De aangetoonde meetonzekerheid mag niet groter zijn dan 20% van de emissie-eis (art. 4.1312 en art. 4.1319).</v>
      </c>
      <c r="AR54" s="826"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4" s="803"/>
      <c r="AT54" s="803"/>
      <c r="AU54" s="812"/>
      <c r="AV54" s="812"/>
      <c r="AW54" s="812"/>
      <c r="AX54" s="813"/>
    </row>
    <row r="55" spans="1:50" x14ac:dyDescent="0.2">
      <c r="A55" s="295"/>
      <c r="B55" s="339">
        <f t="shared" ca="1" si="36"/>
        <v>0</v>
      </c>
      <c r="C55" s="249">
        <f t="shared" ca="1" si="37"/>
        <v>0</v>
      </c>
      <c r="D55" s="246">
        <f t="shared" ca="1" si="38"/>
        <v>1</v>
      </c>
      <c r="E55" s="247">
        <f t="shared" ref="E55" ca="1" si="75">IF(AND(OR($AB55="",Tdatum&gt;=$AB55,AND(AB55&lt;&gt;"",ISNUMBER(FIND("j",LOWER(AD55))))),OR($AC55="",Tdatum&lt;=$AC55)),1,0)</f>
        <v>1</v>
      </c>
      <c r="F55" s="247">
        <f t="shared" ca="1" si="24"/>
        <v>1</v>
      </c>
      <c r="G55" s="147">
        <f t="shared" ref="G55:G60" ca="1" si="76">IF(OR(SI=6,SI=7,SI=9),1,0)</f>
        <v>0</v>
      </c>
      <c r="H55" s="147"/>
      <c r="I55" s="148"/>
      <c r="J55" s="147"/>
      <c r="K55" s="148"/>
      <c r="L55" s="147">
        <f ca="1">IF(OR(BRAND1=6,BRAND1=7),1,0)</f>
        <v>0</v>
      </c>
      <c r="M55" s="248">
        <f t="shared" ref="M55:M60" ca="1" si="77">IF(AND(ParBAL1&lt;&gt;"",ParBAL1=P55),1,0)</f>
        <v>1</v>
      </c>
      <c r="N55" s="147">
        <f ca="1">IF(OR(BRAND2=6,BRAND2=7),1,0)</f>
        <v>0</v>
      </c>
      <c r="O55" s="249">
        <f t="shared" ref="O55:O60" ca="1" si="78">IF(AND(ParBAL2&lt;&gt;"",ParBAL2=P55),1,0)</f>
        <v>0</v>
      </c>
      <c r="P55" s="44" t="s">
        <v>106</v>
      </c>
      <c r="Q55" s="149" t="s">
        <v>232</v>
      </c>
      <c r="R55" s="149" t="s">
        <v>208</v>
      </c>
      <c r="S55" s="149">
        <v>1</v>
      </c>
      <c r="T55" s="149"/>
      <c r="U55" s="150"/>
      <c r="V55" s="150"/>
      <c r="W55" s="150"/>
      <c r="X55" s="150"/>
      <c r="Y55" s="151"/>
      <c r="Z55" s="143"/>
      <c r="AA55" s="144"/>
      <c r="AB55" s="143"/>
      <c r="AC55" s="145"/>
      <c r="AD55" s="146"/>
      <c r="AE55" s="276" t="s">
        <v>233</v>
      </c>
      <c r="AF55" s="152" t="s">
        <v>163</v>
      </c>
      <c r="AG55" s="147"/>
      <c r="AH55" s="636" t="str">
        <f ca="1">IF(AND(INGTOT&lt;=IWTMCP,Tdatum&lt;IWTMCPbest),CONCATENATE(" geldt vanaf ",IWTMCPbesttxt," (art. 4.1337)"),"")</f>
        <v xml:space="preserve"> geldt vanaf 1-1-2025 (art. 4.1337)</v>
      </c>
      <c r="AI55" s="645"/>
      <c r="AJ55" s="269"/>
      <c r="AK55" s="626"/>
      <c r="AL55" s="147"/>
      <c r="AM55" s="655"/>
      <c r="AN55" s="834"/>
      <c r="AO55"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5"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55" s="324" t="str">
        <f t="shared" si="42"/>
        <v>De aangetoonde meetonzekerheid mag niet groter zijn dan 20% van de emissie-eis (art. 4.1312 en art. 4.1319).</v>
      </c>
      <c r="AR55"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5" s="149"/>
      <c r="AT55" s="149"/>
      <c r="AU55" s="150"/>
      <c r="AV55" s="150"/>
      <c r="AW55" s="150"/>
      <c r="AX55" s="151"/>
    </row>
    <row r="56" spans="1:50" x14ac:dyDescent="0.2">
      <c r="A56" s="295"/>
      <c r="B56" s="339">
        <f t="shared" ca="1" si="36"/>
        <v>0</v>
      </c>
      <c r="C56" s="249">
        <f t="shared" ca="1" si="37"/>
        <v>0</v>
      </c>
      <c r="D56" s="246">
        <f t="shared" ca="1" si="38"/>
        <v>1</v>
      </c>
      <c r="E56" s="247">
        <f t="shared" ref="E56:E63" ca="1" si="79">IF(AND(OR($AB56="",Tdatum&gt;=$AB56,AND(AB56&lt;&gt;"",ISNUMBER(FIND("j",LOWER(AD56))))),OR($AC56="",Tdatum&lt;=$AC56)),1,0)</f>
        <v>1</v>
      </c>
      <c r="F56" s="247">
        <f t="shared" ca="1" si="24"/>
        <v>0</v>
      </c>
      <c r="G56" s="147">
        <f t="shared" ca="1" si="76"/>
        <v>0</v>
      </c>
      <c r="H56" s="147"/>
      <c r="I56" s="148"/>
      <c r="J56" s="147"/>
      <c r="K56" s="148"/>
      <c r="L56" s="147">
        <f ca="1">IF(AND(BRAND1&gt;=8,BRAND1&lt;=10),1,0)</f>
        <v>0</v>
      </c>
      <c r="M56" s="248">
        <f t="shared" ca="1" si="77"/>
        <v>1</v>
      </c>
      <c r="N56" s="147">
        <f ca="1">IF(AND(BRAND2&gt;=8,BRAND2&lt;=10),1,0)</f>
        <v>0</v>
      </c>
      <c r="O56" s="249">
        <f t="shared" ca="1" si="78"/>
        <v>0</v>
      </c>
      <c r="P56" s="44" t="s">
        <v>106</v>
      </c>
      <c r="Q56" s="149" t="s">
        <v>232</v>
      </c>
      <c r="R56" s="149" t="s">
        <v>206</v>
      </c>
      <c r="S56" s="149">
        <v>1</v>
      </c>
      <c r="T56" s="149">
        <v>5</v>
      </c>
      <c r="U56" s="150"/>
      <c r="V56" s="150"/>
      <c r="W56" s="150"/>
      <c r="X56" s="150"/>
      <c r="Y56" s="151"/>
      <c r="Z56" s="143"/>
      <c r="AA56" s="144"/>
      <c r="AB56" s="143"/>
      <c r="AC56" s="145"/>
      <c r="AD56" s="146"/>
      <c r="AE56" s="276" t="s">
        <v>233</v>
      </c>
      <c r="AF56" s="152" t="s">
        <v>213</v>
      </c>
      <c r="AG56" s="147"/>
      <c r="AH56" s="636" t="str">
        <f ca="1">AH55</f>
        <v xml:space="preserve"> geldt vanaf 1-1-2025 (art. 4.1337)</v>
      </c>
      <c r="AI56" s="645"/>
      <c r="AJ56" s="269"/>
      <c r="AK56" s="626"/>
      <c r="AL56" s="147"/>
      <c r="AM56" s="655"/>
      <c r="AN56" s="834"/>
      <c r="AO56"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56" s="324" t="str">
        <f t="shared" si="42"/>
        <v>De aangetoonde meetonzekerheid mag niet groter zijn dan 20% van de emissie-eis (art. 4.1312 en art. 4.1319).</v>
      </c>
      <c r="AR56"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149"/>
      <c r="AT56" s="149"/>
      <c r="AU56" s="150"/>
      <c r="AV56" s="150"/>
      <c r="AW56" s="150"/>
      <c r="AX56" s="151"/>
    </row>
    <row r="57" spans="1:50" x14ac:dyDescent="0.2">
      <c r="A57" s="295"/>
      <c r="B57" s="339">
        <f t="shared" ca="1" si="36"/>
        <v>0</v>
      </c>
      <c r="C57" s="249">
        <f t="shared" ca="1" si="37"/>
        <v>0</v>
      </c>
      <c r="D57" s="246">
        <f t="shared" ca="1" si="38"/>
        <v>1</v>
      </c>
      <c r="E57" s="247">
        <f t="shared" ca="1" si="79"/>
        <v>1</v>
      </c>
      <c r="F57" s="247">
        <f t="shared" ca="1" si="24"/>
        <v>1</v>
      </c>
      <c r="G57" s="147">
        <f t="shared" ca="1" si="76"/>
        <v>0</v>
      </c>
      <c r="H57" s="147"/>
      <c r="I57" s="148"/>
      <c r="J57" s="147"/>
      <c r="K57" s="148"/>
      <c r="L57" s="147">
        <f ca="1">IF(AND(BRAND1&gt;=8,BRAND1&lt;=10),1,0)</f>
        <v>0</v>
      </c>
      <c r="M57" s="248">
        <f t="shared" ca="1" si="77"/>
        <v>1</v>
      </c>
      <c r="N57" s="147">
        <f ca="1">IF(AND(BRAND2&gt;=8,BRAND2&lt;=10),1,0)</f>
        <v>0</v>
      </c>
      <c r="O57" s="249">
        <f t="shared" ca="1" si="78"/>
        <v>0</v>
      </c>
      <c r="P57" s="44" t="s">
        <v>106</v>
      </c>
      <c r="Q57" s="149" t="s">
        <v>232</v>
      </c>
      <c r="R57" s="149" t="s">
        <v>206</v>
      </c>
      <c r="S57" s="149">
        <v>5</v>
      </c>
      <c r="T57" s="149"/>
      <c r="U57" s="150"/>
      <c r="V57" s="150"/>
      <c r="W57" s="150"/>
      <c r="X57" s="150"/>
      <c r="Y57" s="151"/>
      <c r="Z57" s="143"/>
      <c r="AA57" s="144"/>
      <c r="AB57" s="143"/>
      <c r="AC57" s="145"/>
      <c r="AD57" s="146"/>
      <c r="AE57" s="276" t="s">
        <v>233</v>
      </c>
      <c r="AF57" s="152" t="s">
        <v>214</v>
      </c>
      <c r="AG57" s="147"/>
      <c r="AH57" s="636" t="str">
        <f t="shared" ref="AH57:AH60" ca="1" si="80">AH56</f>
        <v xml:space="preserve"> geldt vanaf 1-1-2025 (art. 4.1337)</v>
      </c>
      <c r="AI57" s="645"/>
      <c r="AJ57" s="269"/>
      <c r="AK57" s="626"/>
      <c r="AL57" s="147"/>
      <c r="AM57" s="655"/>
      <c r="AN57" s="834"/>
      <c r="AO57"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7"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57" s="324" t="str">
        <f t="shared" si="42"/>
        <v>De aangetoonde meetonzekerheid mag niet groter zijn dan 20% van de emissie-eis (art. 4.1312 en art. 4.1319).</v>
      </c>
      <c r="AR57"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7" s="149"/>
      <c r="AT57" s="149"/>
      <c r="AU57" s="150"/>
      <c r="AV57" s="150"/>
      <c r="AW57" s="150"/>
      <c r="AX57" s="151"/>
    </row>
    <row r="58" spans="1:50" x14ac:dyDescent="0.2">
      <c r="A58" s="295"/>
      <c r="B58" s="339">
        <f t="shared" ca="1" si="36"/>
        <v>0</v>
      </c>
      <c r="C58" s="249">
        <f t="shared" ca="1" si="37"/>
        <v>0</v>
      </c>
      <c r="D58" s="246">
        <f t="shared" ca="1" si="38"/>
        <v>1</v>
      </c>
      <c r="E58" s="247">
        <f t="shared" ca="1" si="79"/>
        <v>1</v>
      </c>
      <c r="F58" s="247">
        <f t="shared" ca="1" si="24"/>
        <v>1</v>
      </c>
      <c r="G58" s="147">
        <f t="shared" ca="1" si="76"/>
        <v>0</v>
      </c>
      <c r="H58" s="147"/>
      <c r="I58" s="148"/>
      <c r="J58" s="147"/>
      <c r="K58" s="148"/>
      <c r="L58" s="147">
        <f ca="1">IF(BRAND1=3,1,0)</f>
        <v>0</v>
      </c>
      <c r="M58" s="248">
        <f t="shared" ca="1" si="77"/>
        <v>1</v>
      </c>
      <c r="N58" s="147">
        <f ca="1">IF(BRAND2=3,1,0)</f>
        <v>0</v>
      </c>
      <c r="O58" s="249">
        <f t="shared" ca="1" si="78"/>
        <v>0</v>
      </c>
      <c r="P58" s="44" t="s">
        <v>106</v>
      </c>
      <c r="Q58" s="149" t="s">
        <v>232</v>
      </c>
      <c r="R58" s="149" t="s">
        <v>215</v>
      </c>
      <c r="S58" s="149">
        <v>1</v>
      </c>
      <c r="T58" s="149"/>
      <c r="U58" s="150"/>
      <c r="V58" s="150"/>
      <c r="W58" s="150"/>
      <c r="X58" s="150"/>
      <c r="Y58" s="151"/>
      <c r="Z58" s="143"/>
      <c r="AA58" s="144"/>
      <c r="AB58" s="143"/>
      <c r="AC58" s="145"/>
      <c r="AD58" s="146"/>
      <c r="AE58" s="276" t="s">
        <v>233</v>
      </c>
      <c r="AF58" s="152" t="s">
        <v>162</v>
      </c>
      <c r="AG58" s="147"/>
      <c r="AH58" s="636" t="str">
        <f t="shared" ca="1" si="80"/>
        <v xml:space="preserve"> geldt vanaf 1-1-2025 (art. 4.1337)</v>
      </c>
      <c r="AI58" s="645"/>
      <c r="AJ58" s="269"/>
      <c r="AK58" s="626"/>
      <c r="AL58" s="147"/>
      <c r="AM58" s="655"/>
      <c r="AN58" s="834"/>
      <c r="AO58"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8"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58" s="324" t="str">
        <f t="shared" si="42"/>
        <v>De aangetoonde meetonzekerheid mag niet groter zijn dan 20% van de emissie-eis (art. 4.1312 en art. 4.1319).</v>
      </c>
      <c r="AR58"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8" s="149"/>
      <c r="AT58" s="149"/>
      <c r="AU58" s="150"/>
      <c r="AV58" s="150"/>
      <c r="AW58" s="150"/>
      <c r="AX58" s="151"/>
    </row>
    <row r="59" spans="1:50" x14ac:dyDescent="0.2">
      <c r="A59" s="295"/>
      <c r="B59" s="339">
        <f t="shared" ca="1" si="36"/>
        <v>0</v>
      </c>
      <c r="C59" s="249">
        <f t="shared" ca="1" si="37"/>
        <v>0</v>
      </c>
      <c r="D59" s="246">
        <f t="shared" ca="1" si="38"/>
        <v>1</v>
      </c>
      <c r="E59" s="247">
        <f t="shared" ca="1" si="79"/>
        <v>1</v>
      </c>
      <c r="F59" s="247">
        <f t="shared" ca="1" si="24"/>
        <v>1</v>
      </c>
      <c r="G59" s="147">
        <f t="shared" ca="1" si="76"/>
        <v>0</v>
      </c>
      <c r="H59" s="147"/>
      <c r="I59" s="148"/>
      <c r="J59" s="147"/>
      <c r="K59" s="148"/>
      <c r="L59" s="147">
        <f ca="1">IF(BRAND1&lt;=2,1,0)</f>
        <v>1</v>
      </c>
      <c r="M59" s="248">
        <f t="shared" ca="1" si="77"/>
        <v>1</v>
      </c>
      <c r="N59" s="147">
        <f ca="1">IF(BRAND2&lt;=2,1,0)</f>
        <v>0</v>
      </c>
      <c r="O59" s="249">
        <f t="shared" ca="1" si="78"/>
        <v>0</v>
      </c>
      <c r="P59" s="44" t="s">
        <v>106</v>
      </c>
      <c r="Q59" s="149" t="s">
        <v>232</v>
      </c>
      <c r="R59" s="149" t="s">
        <v>523</v>
      </c>
      <c r="S59" s="149">
        <v>1</v>
      </c>
      <c r="T59" s="149"/>
      <c r="U59" s="150"/>
      <c r="V59" s="150"/>
      <c r="W59" s="150"/>
      <c r="X59" s="150"/>
      <c r="Y59" s="151"/>
      <c r="Z59" s="143"/>
      <c r="AA59" s="144"/>
      <c r="AB59" s="143"/>
      <c r="AC59" s="145"/>
      <c r="AD59" s="146"/>
      <c r="AE59" s="276" t="s">
        <v>233</v>
      </c>
      <c r="AF59" s="152" t="s">
        <v>162</v>
      </c>
      <c r="AG59" s="147"/>
      <c r="AH59" s="636" t="str">
        <f t="shared" ca="1" si="80"/>
        <v xml:space="preserve"> geldt vanaf 1-1-2025 (art. 4.1337)</v>
      </c>
      <c r="AI59" s="645"/>
      <c r="AJ59" s="269"/>
      <c r="AK59" s="626"/>
      <c r="AL59" s="147"/>
      <c r="AM59" s="655"/>
      <c r="AN59" s="834"/>
      <c r="AO59"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9"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59" s="324" t="str">
        <f t="shared" si="42"/>
        <v>De aangetoonde meetonzekerheid mag niet groter zijn dan 20% van de emissie-eis (art. 4.1312 en art. 4.1319).</v>
      </c>
      <c r="AR59"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9" s="149"/>
      <c r="AT59" s="149"/>
      <c r="AU59" s="150"/>
      <c r="AV59" s="150"/>
      <c r="AW59" s="150"/>
      <c r="AX59" s="151"/>
    </row>
    <row r="60" spans="1:50" x14ac:dyDescent="0.2">
      <c r="A60" s="295"/>
      <c r="B60" s="339">
        <f t="shared" ca="1" si="36"/>
        <v>0</v>
      </c>
      <c r="C60" s="249">
        <f t="shared" ca="1" si="37"/>
        <v>0</v>
      </c>
      <c r="D60" s="246">
        <f t="shared" ca="1" si="38"/>
        <v>1</v>
      </c>
      <c r="E60" s="247">
        <f t="shared" ca="1" si="79"/>
        <v>1</v>
      </c>
      <c r="F60" s="247">
        <f t="shared" ca="1" si="24"/>
        <v>1</v>
      </c>
      <c r="G60" s="147">
        <f t="shared" ca="1" si="76"/>
        <v>0</v>
      </c>
      <c r="H60" s="147"/>
      <c r="I60" s="148"/>
      <c r="J60" s="147"/>
      <c r="K60" s="148"/>
      <c r="L60" s="147">
        <f ca="1">IF(OR(BRAND1=4,BRAND1=5),1,0)</f>
        <v>0</v>
      </c>
      <c r="M60" s="248">
        <f t="shared" ca="1" si="77"/>
        <v>1</v>
      </c>
      <c r="N60" s="147">
        <f ca="1">IF(OR(BRAND2=4,BRAND2=5),1,0)</f>
        <v>0</v>
      </c>
      <c r="O60" s="249">
        <f t="shared" ca="1" si="78"/>
        <v>0</v>
      </c>
      <c r="P60" s="44" t="s">
        <v>106</v>
      </c>
      <c r="Q60" s="149" t="s">
        <v>232</v>
      </c>
      <c r="R60" s="149" t="s">
        <v>217</v>
      </c>
      <c r="S60" s="149">
        <v>1</v>
      </c>
      <c r="T60" s="149"/>
      <c r="U60" s="150"/>
      <c r="V60" s="150"/>
      <c r="W60" s="150"/>
      <c r="X60" s="150"/>
      <c r="Y60" s="151"/>
      <c r="Z60" s="143"/>
      <c r="AA60" s="144"/>
      <c r="AB60" s="143"/>
      <c r="AC60" s="145"/>
      <c r="AD60" s="146"/>
      <c r="AE60" s="276" t="s">
        <v>233</v>
      </c>
      <c r="AF60" s="152" t="s">
        <v>218</v>
      </c>
      <c r="AG60" s="147"/>
      <c r="AH60" s="636" t="str">
        <f t="shared" ca="1" si="80"/>
        <v xml:space="preserve"> geldt vanaf 1-1-2025 (art. 4.1337)</v>
      </c>
      <c r="AI60" s="645"/>
      <c r="AJ60" s="269"/>
      <c r="AK60" s="626"/>
      <c r="AL60" s="147"/>
      <c r="AM60" s="636"/>
      <c r="AN60" s="841"/>
      <c r="AO60" s="325" t="str">
        <f t="shared" ca="1" si="4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0" s="324" t="str">
        <f t="shared" si="42"/>
        <v xml:space="preserve">Een periodieke meting bestaat uit drie deelmetingen van 15-30 minuten. De metingen mogen worden uitgevoerd door een geaccrediteerd laboratorium volgens NEN-EN 14792 of door een SCIOS gecertificeerd bedrijf volgens scope 6 (art. 4.1312). </v>
      </c>
      <c r="AQ60" s="324" t="str">
        <f t="shared" si="42"/>
        <v>De aangetoonde meetonzekerheid mag niet groter zijn dan 20% van de emissie-eis (art. 4.1312 en art. 4.1319).</v>
      </c>
      <c r="AR60" s="324"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0" s="149"/>
      <c r="AT60" s="149"/>
      <c r="AU60" s="150"/>
      <c r="AV60" s="150"/>
      <c r="AW60" s="150"/>
      <c r="AX60" s="151"/>
    </row>
    <row r="61" spans="1:50" x14ac:dyDescent="0.2">
      <c r="A61" s="295"/>
      <c r="B61" s="340"/>
      <c r="C61" s="341"/>
      <c r="D61" s="326"/>
      <c r="E61" s="46"/>
      <c r="F61" s="46"/>
      <c r="G61" s="147"/>
      <c r="H61" s="147"/>
      <c r="I61" s="148"/>
      <c r="J61" s="147"/>
      <c r="K61" s="148"/>
      <c r="L61" s="147"/>
      <c r="M61" s="56"/>
      <c r="N61" s="147"/>
      <c r="O61" s="59"/>
      <c r="P61" s="279"/>
      <c r="Q61" s="160"/>
      <c r="R61" s="149"/>
      <c r="S61" s="149"/>
      <c r="T61" s="149"/>
      <c r="U61" s="150"/>
      <c r="V61" s="150"/>
      <c r="W61" s="150"/>
      <c r="X61" s="150"/>
      <c r="Y61" s="151"/>
      <c r="Z61" s="143"/>
      <c r="AA61" s="144"/>
      <c r="AB61" s="143"/>
      <c r="AC61" s="145"/>
      <c r="AD61" s="146"/>
      <c r="AE61" s="276"/>
      <c r="AF61" s="152"/>
      <c r="AG61" s="147"/>
      <c r="AH61" s="636"/>
      <c r="AI61" s="645"/>
      <c r="AJ61" s="269"/>
      <c r="AK61" s="626"/>
      <c r="AL61" s="147"/>
      <c r="AM61" s="636"/>
      <c r="AN61" s="842"/>
      <c r="AO61" s="684"/>
      <c r="AP61" s="684"/>
      <c r="AQ61" s="684"/>
      <c r="AR61" s="684"/>
      <c r="AS61" s="149"/>
      <c r="AT61" s="155"/>
      <c r="AU61" s="157"/>
      <c r="AV61" s="157"/>
      <c r="AW61" s="157"/>
      <c r="AX61" s="151"/>
    </row>
    <row r="62" spans="1:50" x14ac:dyDescent="0.2">
      <c r="A62" s="363" t="s">
        <v>339</v>
      </c>
      <c r="B62" s="364"/>
      <c r="C62" s="365"/>
      <c r="D62" s="366"/>
      <c r="E62" s="367"/>
      <c r="F62" s="367"/>
      <c r="G62" s="368"/>
      <c r="H62" s="368"/>
      <c r="I62" s="369"/>
      <c r="J62" s="368"/>
      <c r="K62" s="369"/>
      <c r="L62" s="368"/>
      <c r="M62" s="370"/>
      <c r="N62" s="368"/>
      <c r="O62" s="371"/>
      <c r="P62" s="372"/>
      <c r="Q62" s="373"/>
      <c r="R62" s="374"/>
      <c r="S62" s="374"/>
      <c r="T62" s="374"/>
      <c r="U62" s="375"/>
      <c r="V62" s="375"/>
      <c r="W62" s="375"/>
      <c r="X62" s="375"/>
      <c r="Y62" s="376"/>
      <c r="Z62" s="377"/>
      <c r="AA62" s="378"/>
      <c r="AB62" s="377"/>
      <c r="AC62" s="379"/>
      <c r="AD62" s="380"/>
      <c r="AE62" s="381"/>
      <c r="AF62" s="382"/>
      <c r="AG62" s="368"/>
      <c r="AH62" s="637"/>
      <c r="AI62" s="646"/>
      <c r="AJ62" s="383"/>
      <c r="AK62" s="627"/>
      <c r="AL62" s="368"/>
      <c r="AM62" s="637"/>
      <c r="AN62" s="843"/>
      <c r="AO62" s="346" t="str">
        <f ca="1">AO31</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2" s="346" t="str">
        <f>AP31</f>
        <v xml:space="preserve">Een periodieke meting bestaat uit drie deelmetingen van 15-30 minuten. De metingen mogen worden uitgevoerd door een geaccrediteerd laboratorium volgens NEN-EN 14792 of door een SCIOS gecertificeerd bedrijf volgens scope 6 (art. 4.1312). </v>
      </c>
      <c r="AQ62" s="346" t="str">
        <f>AQ31</f>
        <v>De aangetoonde meetonzekerheid mag niet groter zijn dan 20% van de emissie-eis (art. 4.1312 en art. 4.1319).</v>
      </c>
      <c r="AR62" s="346" t="str">
        <f>AR31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2" s="346"/>
      <c r="AT62" s="336"/>
      <c r="AU62" s="337"/>
      <c r="AV62" s="337"/>
      <c r="AW62" s="337"/>
      <c r="AX62" s="335"/>
    </row>
    <row r="63" spans="1:50" x14ac:dyDescent="0.2">
      <c r="A63" s="295"/>
      <c r="B63" s="339">
        <f t="shared" ca="1" si="36"/>
        <v>0</v>
      </c>
      <c r="C63" s="249">
        <f t="shared" ca="1" si="37"/>
        <v>0</v>
      </c>
      <c r="D63" s="246">
        <f ca="1">IF(AND(OR($Z63="",INGVAN="",$Z63&lt;=INGVAN),OR($Z63="",INGTOT="",$Z63&lt;=INGTOT),OR($AA63="",INGVAN="",$AA63&gt;=INGVAN),OR($AA63="",INGTOT="",$AA63&gt;=INGTOT)),1,0)</f>
        <v>0</v>
      </c>
      <c r="E63" s="247">
        <f t="shared" ca="1" si="79"/>
        <v>1</v>
      </c>
      <c r="F63" s="247">
        <f t="shared" ca="1" si="24"/>
        <v>1</v>
      </c>
      <c r="G63" s="147">
        <f ca="1">IF(SI=3,1,0)</f>
        <v>0</v>
      </c>
      <c r="H63" s="147">
        <f>IF(Offshore,1,0)</f>
        <v>0</v>
      </c>
      <c r="I63" s="148"/>
      <c r="J63" s="147"/>
      <c r="K63" s="148"/>
      <c r="L63" s="147"/>
      <c r="M63" s="248">
        <f t="shared" ref="M63" ca="1" si="81">IF(AND(ParBAL1&lt;&gt;"",ParBAL1=P63),1,0)</f>
        <v>1</v>
      </c>
      <c r="N63" s="147"/>
      <c r="O63" s="249">
        <f t="shared" ref="O63" ca="1" si="82">IF(AND(ParBAL2&lt;&gt;"",ParBAL2=P63),1,0)</f>
        <v>0</v>
      </c>
      <c r="P63" s="44" t="s">
        <v>106</v>
      </c>
      <c r="Q63" s="149" t="s">
        <v>240</v>
      </c>
      <c r="R63" s="149" t="s">
        <v>222</v>
      </c>
      <c r="S63" s="275">
        <v>0.1</v>
      </c>
      <c r="T63" s="149"/>
      <c r="U63" s="150"/>
      <c r="V63" s="150"/>
      <c r="W63" s="150"/>
      <c r="X63" s="150"/>
      <c r="Y63" s="151"/>
      <c r="Z63" s="143"/>
      <c r="AA63" s="144">
        <f>MCPbest</f>
        <v>40269</v>
      </c>
      <c r="AB63" s="143"/>
      <c r="AC63" s="145"/>
      <c r="AD63" s="146"/>
      <c r="AE63" s="277" t="s">
        <v>239</v>
      </c>
      <c r="AF63" s="152" t="s">
        <v>237</v>
      </c>
      <c r="AG63" s="147"/>
      <c r="AH63" s="636"/>
      <c r="AI63" s="645"/>
      <c r="AJ63" s="269"/>
      <c r="AK63" s="626"/>
      <c r="AL63" s="147"/>
      <c r="AM63" s="655"/>
      <c r="AN63" s="834"/>
      <c r="AO63" s="325" t="str">
        <f ca="1">IF($AF63="","",AO$62)</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3" s="325" t="str">
        <f t="shared" ref="AP63:AR64" si="83">IF($AF63="","",AP$62)</f>
        <v xml:space="preserve">Een periodieke meting bestaat uit drie deelmetingen van 15-30 minuten. De metingen mogen worden uitgevoerd door een geaccrediteerd laboratorium volgens NEN-EN 14792 of door een SCIOS gecertificeerd bedrijf volgens scope 6 (art. 4.1312). </v>
      </c>
      <c r="AQ63" s="325" t="str">
        <f t="shared" si="83"/>
        <v>De aangetoonde meetonzekerheid mag niet groter zijn dan 20% van de emissie-eis (art. 4.1312 en art. 4.1319).</v>
      </c>
      <c r="AR63" s="325" t="str">
        <f t="shared" si="8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3" s="149"/>
      <c r="AT63" s="149"/>
      <c r="AU63" s="150"/>
      <c r="AV63" s="150"/>
      <c r="AW63" s="150"/>
      <c r="AX63" s="151"/>
    </row>
    <row r="64" spans="1:50" x14ac:dyDescent="0.2">
      <c r="A64" s="295"/>
      <c r="B64" s="339">
        <f t="shared" ca="1" si="36"/>
        <v>0</v>
      </c>
      <c r="C64" s="249">
        <f t="shared" ca="1" si="37"/>
        <v>0</v>
      </c>
      <c r="D64" s="246">
        <f ca="1">IF(AND(OR($Z64="",INGVAN="",$Z64&lt;=INGVAN),OR($Z64="",INGTOT="",$Z64&lt;=INGTOT),OR($AA64="",INGVAN="",$AA64&gt;=INGVAN),OR($AA64="",INGTOT="",$AA64&gt;=INGTOT)),1,0)</f>
        <v>1</v>
      </c>
      <c r="E64" s="247">
        <f t="shared" ref="E64:E81" ca="1" si="84">IF(AND(OR($AB64="",Tdatum&gt;=$AB64,AND(AB64&lt;&gt;"",ISNUMBER(FIND("j",LOWER(AD64))))),OR($AC64="",Tdatum&lt;=$AC64)),1,0)</f>
        <v>1</v>
      </c>
      <c r="F64" s="247">
        <f t="shared" ca="1" si="24"/>
        <v>0</v>
      </c>
      <c r="G64" s="147">
        <f ca="1">IF(SI=4,1,0)</f>
        <v>0</v>
      </c>
      <c r="H64" s="147"/>
      <c r="I64" s="148"/>
      <c r="J64" s="147"/>
      <c r="K64" s="148"/>
      <c r="L64" s="147">
        <f ca="1">IF(BRAND1&lt;=2,1,0)</f>
        <v>1</v>
      </c>
      <c r="M64" s="248">
        <f t="shared" ref="M64:M81" ca="1" si="85">IF(AND(ParBAL1&lt;&gt;"",ParBAL1=P64),1,0)</f>
        <v>1</v>
      </c>
      <c r="N64" s="147">
        <f ca="1">IF(BRAND2&lt;=2,1,0)</f>
        <v>0</v>
      </c>
      <c r="O64" s="249">
        <f t="shared" ref="O64:O81" ca="1" si="86">IF(AND(ParBAL2&lt;&gt;"",ParBAL2=P64),1,0)</f>
        <v>0</v>
      </c>
      <c r="P64" s="44" t="s">
        <v>106</v>
      </c>
      <c r="Q64" s="149" t="s">
        <v>241</v>
      </c>
      <c r="R64" s="149" t="s">
        <v>180</v>
      </c>
      <c r="S64" s="149">
        <v>1</v>
      </c>
      <c r="T64" s="149">
        <v>2.5</v>
      </c>
      <c r="U64" s="150"/>
      <c r="V64" s="150"/>
      <c r="W64" s="150"/>
      <c r="X64" s="150"/>
      <c r="Y64" s="151"/>
      <c r="Z64" s="143"/>
      <c r="AA64" s="144">
        <f>IWTMCP</f>
        <v>43454</v>
      </c>
      <c r="AB64" s="143"/>
      <c r="AC64" s="145">
        <f ca="1">IWTMCPbest</f>
        <v>45658</v>
      </c>
      <c r="AD64" s="146"/>
      <c r="AE64" s="276" t="s">
        <v>268</v>
      </c>
      <c r="AF64" s="152" t="s">
        <v>227</v>
      </c>
      <c r="AG64" s="147"/>
      <c r="AH64" s="636"/>
      <c r="AI64" s="645"/>
      <c r="AJ64" s="269"/>
      <c r="AK64" s="626"/>
      <c r="AL64" s="147"/>
      <c r="AM64" s="655"/>
      <c r="AN64" s="834"/>
      <c r="AO64" s="325" t="str">
        <f t="shared" ref="AO64" ca="1" si="87">IF($AF64="","",AO$62)</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4" s="325" t="str">
        <f t="shared" si="83"/>
        <v xml:space="preserve">Een periodieke meting bestaat uit drie deelmetingen van 15-30 minuten. De metingen mogen worden uitgevoerd door een geaccrediteerd laboratorium volgens NEN-EN 14792 of door een SCIOS gecertificeerd bedrijf volgens scope 6 (art. 4.1312). </v>
      </c>
      <c r="AQ64" s="325" t="str">
        <f t="shared" si="83"/>
        <v>De aangetoonde meetonzekerheid mag niet groter zijn dan 20% van de emissie-eis (art. 4.1312 en art. 4.1319).</v>
      </c>
      <c r="AR64" s="325" t="str">
        <f t="shared" si="8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4" s="149"/>
      <c r="AT64" s="149"/>
      <c r="AU64" s="150"/>
      <c r="AV64" s="150"/>
      <c r="AW64" s="150"/>
      <c r="AX64" s="151"/>
    </row>
    <row r="65" spans="1:50" s="771" customFormat="1" x14ac:dyDescent="0.2">
      <c r="A65" s="744"/>
      <c r="B65" s="745">
        <f t="shared" ref="B65:B67" ca="1" si="88">IF(AND(SUM(D65:K65,L65:M65)=COUNT(D65:K65,L65:M65),COUNT(D65:K65,L65:M65)&gt;0),ROW(B65),0)</f>
        <v>0</v>
      </c>
      <c r="C65" s="746">
        <f t="shared" ref="C65:C67" ca="1" si="89">IF(AND(SUM(D65:K65,N65:O65)=COUNT(D65:K65,N65:O65),COUNT(D65:K65,N65:O65)&gt;0),ROW(B65),0)</f>
        <v>0</v>
      </c>
      <c r="D65" s="747">
        <f t="shared" ref="D65:D67" ca="1" si="90">IF(AND(OR($Z65="",INGVAN="",$Z65&lt;=INGVAN),OR($Z65="",INGTOT="",$Z65&lt;=INGTOT),OR($AA65="",INGVAN="",$AA65&gt;=INGVAN),OR($AA65="",INGTOT="",$AA65&gt;=INGTOT)),1,0)</f>
        <v>1</v>
      </c>
      <c r="E65" s="748">
        <f t="shared" ref="E65:E67" ca="1" si="91">IF(AND(OR($AB65="",Tdatum&gt;=$AB65,AND(AB65&lt;&gt;"",ISNUMBER(FIND("j",LOWER(AD65))))),OR($AC65="",Tdatum&lt;=$AC65)),1,0)</f>
        <v>1</v>
      </c>
      <c r="F65" s="748">
        <f t="shared" ca="1" si="24"/>
        <v>0</v>
      </c>
      <c r="G65" s="749">
        <f t="shared" ref="G65:G67" ca="1" si="92">IF(SI&lt;=2,1,0)</f>
        <v>1</v>
      </c>
      <c r="H65" s="749"/>
      <c r="I65" s="750"/>
      <c r="J65" s="749"/>
      <c r="K65" s="750"/>
      <c r="L65" s="749">
        <f t="shared" ref="L65:L67" ca="1" si="93">IF(AND(BRAND1&gt;=8,BRAND1&lt;=10),1,0)</f>
        <v>0</v>
      </c>
      <c r="M65" s="751">
        <f t="shared" ref="M65:M67" ca="1" si="94">IF(AND(ParBAL1&lt;&gt;"",ParBAL1=P65),1,0)</f>
        <v>1</v>
      </c>
      <c r="N65" s="749">
        <f t="shared" ref="N65:N67" ca="1" si="95">IF(AND(BRAND2&gt;=8,BRAND2&lt;=10),1,0)</f>
        <v>0</v>
      </c>
      <c r="O65" s="746">
        <f t="shared" ref="O65:O67" ca="1" si="96">IF(AND(ParBAL2&lt;&gt;"",ParBAL2=P65),1,0)</f>
        <v>0</v>
      </c>
      <c r="P65" s="752" t="s">
        <v>106</v>
      </c>
      <c r="Q65" s="753" t="s">
        <v>204</v>
      </c>
      <c r="R65" s="753" t="s">
        <v>206</v>
      </c>
      <c r="S65" s="754">
        <v>0.1</v>
      </c>
      <c r="T65" s="753">
        <v>1</v>
      </c>
      <c r="U65" s="755"/>
      <c r="V65" s="755"/>
      <c r="W65" s="755"/>
      <c r="X65" s="755"/>
      <c r="Y65" s="756"/>
      <c r="Z65" s="757"/>
      <c r="AA65" s="758">
        <f>IWTBAL-1</f>
        <v>45291</v>
      </c>
      <c r="AB65" s="757"/>
      <c r="AC65" s="759"/>
      <c r="AD65" s="760"/>
      <c r="AE65" s="761" t="s">
        <v>387</v>
      </c>
      <c r="AF65" s="762" t="s">
        <v>207</v>
      </c>
      <c r="AG65" s="763"/>
      <c r="AH65" s="764" t="str">
        <f ca="1">IF(INGTOT&gt;SCPbestbio,".",IF(Tdatum&lt;DATEVALUE("1-1-2027"),CONCATENATE(" geldt vanaf 1-1-2027",IF(INGTOT&lt;SCPbest," of vanaf een ingrijpende wijziging (art. 4.1332 3e en 5e lid)."," (art. 4.1332 5e lid).")),""))</f>
        <v xml:space="preserve"> geldt vanaf 1-1-2027 of vanaf een ingrijpende wijziging (art. 4.1332 3e en 5e lid).</v>
      </c>
      <c r="AI65" s="765"/>
      <c r="AJ65" s="766"/>
      <c r="AK65" s="767"/>
      <c r="AL65" s="763"/>
      <c r="AM65" s="768"/>
      <c r="AN65" s="844"/>
      <c r="AO65" s="753" t="str">
        <f t="shared" ref="AO65:AR67" ca="1" si="97">IF($AF65="","",AO$31)</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5" s="769" t="str">
        <f t="shared" si="97"/>
        <v xml:space="preserve">Een periodieke meting bestaat uit drie deelmetingen van 15-30 minuten. De metingen mogen worden uitgevoerd door een geaccrediteerd laboratorium volgens NEN-EN 14792 of door een SCIOS gecertificeerd bedrijf volgens scope 6 (art. 4.1312). </v>
      </c>
      <c r="AQ65" s="769" t="str">
        <f t="shared" si="97"/>
        <v>De aangetoonde meetonzekerheid mag niet groter zijn dan 20% van de emissie-eis (art. 4.1312 en art. 4.1319).</v>
      </c>
      <c r="AR65" s="769"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5" s="753"/>
      <c r="AT65" s="753"/>
      <c r="AU65" s="755"/>
      <c r="AV65" s="755"/>
      <c r="AW65" s="755"/>
      <c r="AX65" s="770"/>
    </row>
    <row r="66" spans="1:50" s="771" customFormat="1" x14ac:dyDescent="0.2">
      <c r="A66" s="744"/>
      <c r="B66" s="745">
        <f t="shared" ca="1" si="88"/>
        <v>0</v>
      </c>
      <c r="C66" s="746">
        <f t="shared" ca="1" si="89"/>
        <v>0</v>
      </c>
      <c r="D66" s="747">
        <f t="shared" ca="1" si="90"/>
        <v>1</v>
      </c>
      <c r="E66" s="748">
        <f t="shared" ca="1" si="91"/>
        <v>1</v>
      </c>
      <c r="F66" s="748">
        <f t="shared" ca="1" si="24"/>
        <v>0</v>
      </c>
      <c r="G66" s="749">
        <f t="shared" ca="1" si="92"/>
        <v>1</v>
      </c>
      <c r="H66" s="749"/>
      <c r="I66" s="750"/>
      <c r="J66" s="749"/>
      <c r="K66" s="750"/>
      <c r="L66" s="749">
        <f t="shared" ca="1" si="93"/>
        <v>0</v>
      </c>
      <c r="M66" s="751">
        <f t="shared" ca="1" si="94"/>
        <v>1</v>
      </c>
      <c r="N66" s="749">
        <f t="shared" ca="1" si="95"/>
        <v>0</v>
      </c>
      <c r="O66" s="746">
        <f t="shared" ca="1" si="96"/>
        <v>0</v>
      </c>
      <c r="P66" s="752" t="s">
        <v>106</v>
      </c>
      <c r="Q66" s="753" t="s">
        <v>204</v>
      </c>
      <c r="R66" s="753" t="s">
        <v>206</v>
      </c>
      <c r="S66" s="753">
        <v>1</v>
      </c>
      <c r="T66" s="753">
        <v>5</v>
      </c>
      <c r="U66" s="755"/>
      <c r="V66" s="755"/>
      <c r="W66" s="755"/>
      <c r="X66" s="755"/>
      <c r="Y66" s="756"/>
      <c r="Z66" s="757"/>
      <c r="AA66" s="758">
        <f>IWTBAL-1</f>
        <v>45291</v>
      </c>
      <c r="AB66" s="757"/>
      <c r="AC66" s="759"/>
      <c r="AD66" s="760"/>
      <c r="AE66" s="761" t="s">
        <v>387</v>
      </c>
      <c r="AF66" s="762" t="s">
        <v>213</v>
      </c>
      <c r="AG66" s="763"/>
      <c r="AH66" s="764"/>
      <c r="AI66" s="765"/>
      <c r="AJ66" s="766"/>
      <c r="AK66" s="767"/>
      <c r="AL66" s="763"/>
      <c r="AM66" s="768"/>
      <c r="AN66" s="844"/>
      <c r="AO66" s="753" t="str">
        <f t="shared" ca="1" si="9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6" s="769" t="str">
        <f t="shared" si="97"/>
        <v xml:space="preserve">Een periodieke meting bestaat uit drie deelmetingen van 15-30 minuten. De metingen mogen worden uitgevoerd door een geaccrediteerd laboratorium volgens NEN-EN 14792 of door een SCIOS gecertificeerd bedrijf volgens scope 6 (art. 4.1312). </v>
      </c>
      <c r="AQ66" s="769" t="str">
        <f t="shared" si="97"/>
        <v>De aangetoonde meetonzekerheid mag niet groter zijn dan 20% van de emissie-eis (art. 4.1312 en art. 4.1319).</v>
      </c>
      <c r="AR66" s="769"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6" s="753"/>
      <c r="AT66" s="753"/>
      <c r="AU66" s="755"/>
      <c r="AV66" s="755"/>
      <c r="AW66" s="755"/>
      <c r="AX66" s="756"/>
    </row>
    <row r="67" spans="1:50" s="771" customFormat="1" x14ac:dyDescent="0.2">
      <c r="A67" s="744"/>
      <c r="B67" s="745">
        <f t="shared" ca="1" si="88"/>
        <v>0</v>
      </c>
      <c r="C67" s="746">
        <f t="shared" ca="1" si="89"/>
        <v>0</v>
      </c>
      <c r="D67" s="747">
        <f t="shared" ca="1" si="90"/>
        <v>1</v>
      </c>
      <c r="E67" s="748">
        <f t="shared" ca="1" si="91"/>
        <v>1</v>
      </c>
      <c r="F67" s="748">
        <f t="shared" ca="1" si="24"/>
        <v>1</v>
      </c>
      <c r="G67" s="749">
        <f t="shared" ca="1" si="92"/>
        <v>1</v>
      </c>
      <c r="H67" s="749"/>
      <c r="I67" s="750"/>
      <c r="J67" s="749"/>
      <c r="K67" s="750"/>
      <c r="L67" s="749">
        <f t="shared" ca="1" si="93"/>
        <v>0</v>
      </c>
      <c r="M67" s="751">
        <f t="shared" ca="1" si="94"/>
        <v>1</v>
      </c>
      <c r="N67" s="749">
        <f t="shared" ca="1" si="95"/>
        <v>0</v>
      </c>
      <c r="O67" s="746">
        <f t="shared" ca="1" si="96"/>
        <v>0</v>
      </c>
      <c r="P67" s="752" t="s">
        <v>106</v>
      </c>
      <c r="Q67" s="753" t="s">
        <v>204</v>
      </c>
      <c r="R67" s="753" t="s">
        <v>206</v>
      </c>
      <c r="S67" s="753">
        <v>5</v>
      </c>
      <c r="T67" s="753"/>
      <c r="U67" s="755"/>
      <c r="V67" s="755"/>
      <c r="W67" s="755"/>
      <c r="X67" s="755"/>
      <c r="Y67" s="756"/>
      <c r="Z67" s="757"/>
      <c r="AA67" s="758">
        <f>IWTBAL-1</f>
        <v>45291</v>
      </c>
      <c r="AB67" s="757"/>
      <c r="AC67" s="759"/>
      <c r="AD67" s="760"/>
      <c r="AE67" s="761" t="s">
        <v>387</v>
      </c>
      <c r="AF67" s="762" t="s">
        <v>214</v>
      </c>
      <c r="AG67" s="763"/>
      <c r="AH67" s="764"/>
      <c r="AI67" s="765"/>
      <c r="AJ67" s="766"/>
      <c r="AK67" s="767"/>
      <c r="AL67" s="763"/>
      <c r="AM67" s="768"/>
      <c r="AN67" s="844"/>
      <c r="AO67" s="753" t="str">
        <f t="shared" ca="1" si="97"/>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7" s="769" t="str">
        <f t="shared" si="97"/>
        <v xml:space="preserve">Een periodieke meting bestaat uit drie deelmetingen van 15-30 minuten. De metingen mogen worden uitgevoerd door een geaccrediteerd laboratorium volgens NEN-EN 14792 of door een SCIOS gecertificeerd bedrijf volgens scope 6 (art. 4.1312). </v>
      </c>
      <c r="AQ67" s="769" t="str">
        <f t="shared" si="97"/>
        <v>De aangetoonde meetonzekerheid mag niet groter zijn dan 20% van de emissie-eis (art. 4.1312 en art. 4.1319).</v>
      </c>
      <c r="AR67" s="769"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7" s="753"/>
      <c r="AT67" s="753"/>
      <c r="AU67" s="755"/>
      <c r="AV67" s="755"/>
      <c r="AW67" s="755"/>
      <c r="AX67" s="756"/>
    </row>
    <row r="68" spans="1:50" x14ac:dyDescent="0.2">
      <c r="A68" s="584"/>
      <c r="B68" s="585"/>
      <c r="C68" s="586"/>
      <c r="D68" s="587"/>
      <c r="E68" s="588"/>
      <c r="F68" s="588"/>
      <c r="G68" s="589"/>
      <c r="H68" s="589"/>
      <c r="I68" s="590"/>
      <c r="J68" s="589"/>
      <c r="K68" s="590"/>
      <c r="L68" s="589"/>
      <c r="M68" s="591"/>
      <c r="N68" s="589"/>
      <c r="O68" s="592"/>
      <c r="P68" s="593"/>
      <c r="Q68" s="594"/>
      <c r="R68" s="595"/>
      <c r="S68" s="595"/>
      <c r="T68" s="595"/>
      <c r="U68" s="596"/>
      <c r="V68" s="596"/>
      <c r="W68" s="596"/>
      <c r="X68" s="596"/>
      <c r="Y68" s="597"/>
      <c r="Z68" s="598"/>
      <c r="AA68" s="599"/>
      <c r="AB68" s="598"/>
      <c r="AC68" s="600"/>
      <c r="AD68" s="601"/>
      <c r="AE68" s="602"/>
      <c r="AF68" s="603"/>
      <c r="AG68" s="589"/>
      <c r="AH68" s="638"/>
      <c r="AI68" s="647"/>
      <c r="AJ68" s="604"/>
      <c r="AK68" s="628"/>
      <c r="AL68" s="589"/>
      <c r="AM68" s="657"/>
      <c r="AN68" s="837"/>
      <c r="AO68" s="606"/>
      <c r="AP68" s="606"/>
      <c r="AQ68" s="606"/>
      <c r="AR68" s="606"/>
      <c r="AS68" s="595"/>
      <c r="AT68" s="606"/>
      <c r="AU68" s="607"/>
      <c r="AV68" s="607"/>
      <c r="AW68" s="607"/>
      <c r="AX68" s="597"/>
    </row>
    <row r="69" spans="1:50" x14ac:dyDescent="0.2">
      <c r="A69" s="393" t="s">
        <v>292</v>
      </c>
      <c r="B69" s="394"/>
      <c r="C69" s="395"/>
      <c r="D69" s="396"/>
      <c r="E69" s="397"/>
      <c r="F69" s="397"/>
      <c r="G69" s="398"/>
      <c r="H69" s="398"/>
      <c r="I69" s="399"/>
      <c r="J69" s="398"/>
      <c r="K69" s="399"/>
      <c r="L69" s="398"/>
      <c r="M69" s="400"/>
      <c r="N69" s="398"/>
      <c r="O69" s="401"/>
      <c r="P69" s="402"/>
      <c r="Q69" s="403"/>
      <c r="R69" s="404"/>
      <c r="S69" s="404"/>
      <c r="T69" s="404"/>
      <c r="U69" s="405"/>
      <c r="V69" s="405"/>
      <c r="W69" s="405"/>
      <c r="X69" s="405"/>
      <c r="Y69" s="406"/>
      <c r="Z69" s="407"/>
      <c r="AA69" s="408"/>
      <c r="AB69" s="407"/>
      <c r="AC69" s="409"/>
      <c r="AD69" s="410"/>
      <c r="AE69" s="411"/>
      <c r="AF69" s="412"/>
      <c r="AG69" s="398"/>
      <c r="AH69" s="639"/>
      <c r="AI69" s="648"/>
      <c r="AJ69" s="413"/>
      <c r="AK69" s="629"/>
      <c r="AL69" s="398"/>
      <c r="AM69" s="658"/>
      <c r="AN69" s="838"/>
      <c r="AO69" s="333"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9" s="333" t="s">
        <v>396</v>
      </c>
      <c r="AQ69" s="333" t="s">
        <v>263</v>
      </c>
      <c r="AR69" s="333" t="s">
        <v>264</v>
      </c>
      <c r="AS69" s="327"/>
      <c r="AT69" s="330"/>
      <c r="AU69" s="331"/>
      <c r="AV69" s="331"/>
      <c r="AW69" s="331"/>
      <c r="AX69" s="328"/>
    </row>
    <row r="70" spans="1:50" x14ac:dyDescent="0.2">
      <c r="A70" s="295"/>
      <c r="B70" s="339">
        <f t="shared" ref="B70:B81" ca="1" si="98">IF(AND(SUM(D70:K70,L70:M70)=COUNT(D70:K70,L70:M70),COUNT(D70:K70,L70:M70)&gt;0),ROW(B70),0)</f>
        <v>0</v>
      </c>
      <c r="C70" s="249">
        <f t="shared" ref="C70:C81" ca="1" si="99">IF(AND(SUM(D70:K70,N70:O70)=COUNT(D70:K70,N70:O70),COUNT(D70:K70,N70:O70)&gt;0),ROW(B70),0)</f>
        <v>0</v>
      </c>
      <c r="D70" s="246">
        <f t="shared" ref="D70:D81" ca="1" si="100">IF(AND(OR($Z70="",INGVAN="",$Z70&lt;=INGVAN),OR($Z70="",INGTOT="",$Z70&lt;=INGTOT),OR($AA70="",INGVAN="",$AA70&gt;=INGVAN),OR($AA70="",INGTOT="",$AA70&gt;=INGTOT)),1,0)</f>
        <v>1</v>
      </c>
      <c r="E70" s="247">
        <f t="shared" ca="1" si="84"/>
        <v>1</v>
      </c>
      <c r="F70" s="247">
        <f t="shared" ca="1" si="24"/>
        <v>1</v>
      </c>
      <c r="G70" s="147">
        <f ca="1">IF(SI=3,1,0)</f>
        <v>0</v>
      </c>
      <c r="H70" s="147"/>
      <c r="I70" s="148"/>
      <c r="J70" s="147"/>
      <c r="K70" s="148"/>
      <c r="L70" s="147">
        <f ca="1">IF(FBRAND1="l",1,0)</f>
        <v>0</v>
      </c>
      <c r="M70" s="248">
        <f t="shared" ca="1" si="85"/>
        <v>0</v>
      </c>
      <c r="N70" s="147">
        <f ca="1">IF(FBRAND2="l",1,0)</f>
        <v>0</v>
      </c>
      <c r="O70" s="249">
        <f t="shared" ca="1" si="86"/>
        <v>0</v>
      </c>
      <c r="P70" s="44" t="s">
        <v>105</v>
      </c>
      <c r="Q70" s="149" t="s">
        <v>270</v>
      </c>
      <c r="R70" s="149" t="s">
        <v>173</v>
      </c>
      <c r="S70" s="284">
        <v>1</v>
      </c>
      <c r="T70" s="149"/>
      <c r="U70" s="150"/>
      <c r="V70" s="150"/>
      <c r="W70" s="150"/>
      <c r="X70" s="150"/>
      <c r="Y70" s="151"/>
      <c r="Z70" s="143"/>
      <c r="AA70" s="144"/>
      <c r="AB70" s="143"/>
      <c r="AC70" s="145"/>
      <c r="AD70" s="146"/>
      <c r="AE70" s="277" t="s">
        <v>252</v>
      </c>
      <c r="AF70" s="152" t="s">
        <v>160</v>
      </c>
      <c r="AG70" s="147"/>
      <c r="AH70" s="636"/>
      <c r="AI70" s="645"/>
      <c r="AJ70" s="269"/>
      <c r="AK70" s="626"/>
      <c r="AL70" s="147"/>
      <c r="AM70" s="655"/>
      <c r="AN70" s="834"/>
      <c r="AO70" s="325" t="str">
        <f ca="1">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0" s="325" t="str">
        <f t="shared" ref="AP70:AR81" si="101">AP$69</f>
        <v xml:space="preserve">Een periodieke meting bestaat uit drie deelmetingen van 15-30 minuten. De metingen mogen worden uitgevoerd door een geaccrediteerde laboratorium volgens NEN-EN 14792 (art. 4.1354). </v>
      </c>
      <c r="AQ70" s="325" t="str">
        <f t="shared" si="101"/>
        <v>De aangetoonde meetonzekerheid mag niet groter zijn dan 20% van de emissie-eis (art. 4.1354 en art. 4.1361).</v>
      </c>
      <c r="AR70"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0" s="350"/>
      <c r="AT70" s="149"/>
      <c r="AU70" s="150"/>
      <c r="AV70" s="150"/>
      <c r="AW70" s="150"/>
      <c r="AX70" s="151"/>
    </row>
    <row r="71" spans="1:50" x14ac:dyDescent="0.2">
      <c r="A71" s="295"/>
      <c r="B71" s="339">
        <f t="shared" ca="1" si="98"/>
        <v>0</v>
      </c>
      <c r="C71" s="249">
        <f t="shared" ca="1" si="99"/>
        <v>0</v>
      </c>
      <c r="D71" s="246">
        <f t="shared" ca="1" si="100"/>
        <v>1</v>
      </c>
      <c r="E71" s="247">
        <f t="shared" ca="1" si="84"/>
        <v>1</v>
      </c>
      <c r="F71" s="247">
        <f t="shared" ca="1" si="24"/>
        <v>1</v>
      </c>
      <c r="G71" s="147">
        <f ca="1">IF(SI=3,1,0)</f>
        <v>0</v>
      </c>
      <c r="H71" s="147"/>
      <c r="I71" s="148"/>
      <c r="J71" s="147"/>
      <c r="K71" s="148"/>
      <c r="L71" s="147">
        <f ca="1">IF(FBRAND1="g",1,0)</f>
        <v>1</v>
      </c>
      <c r="M71" s="248">
        <f t="shared" ca="1" si="85"/>
        <v>0</v>
      </c>
      <c r="N71" s="147">
        <f ca="1">IF(FBRAND2="g",1,0)</f>
        <v>0</v>
      </c>
      <c r="O71" s="249">
        <f t="shared" ca="1" si="86"/>
        <v>0</v>
      </c>
      <c r="P71" s="44" t="s">
        <v>105</v>
      </c>
      <c r="Q71" s="149" t="s">
        <v>270</v>
      </c>
      <c r="R71" s="149" t="s">
        <v>178</v>
      </c>
      <c r="S71" s="284">
        <v>1</v>
      </c>
      <c r="T71" s="149"/>
      <c r="U71" s="150"/>
      <c r="V71" s="150"/>
      <c r="W71" s="150"/>
      <c r="X71" s="150"/>
      <c r="Y71" s="151"/>
      <c r="Z71" s="143"/>
      <c r="AA71" s="144"/>
      <c r="AB71" s="143"/>
      <c r="AC71" s="145"/>
      <c r="AD71" s="146"/>
      <c r="AE71" s="276" t="str">
        <f>AE70</f>
        <v>4.1346</v>
      </c>
      <c r="AF71" s="152" t="s">
        <v>160</v>
      </c>
      <c r="AG71" s="147"/>
      <c r="AH71" s="636"/>
      <c r="AI71" s="645"/>
      <c r="AJ71" s="269"/>
      <c r="AK71" s="626"/>
      <c r="AL71" s="147"/>
      <c r="AM71" s="655"/>
      <c r="AN71" s="834"/>
      <c r="AO71" s="325" t="str">
        <f t="shared" ref="AO71:AO81" ca="1" si="102">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1" s="325" t="str">
        <f t="shared" si="101"/>
        <v xml:space="preserve">Een periodieke meting bestaat uit drie deelmetingen van 15-30 minuten. De metingen mogen worden uitgevoerd door een geaccrediteerde laboratorium volgens NEN-EN 14792 (art. 4.1354). </v>
      </c>
      <c r="AQ71" s="325" t="str">
        <f t="shared" si="101"/>
        <v>De aangetoonde meetonzekerheid mag niet groter zijn dan 20% van de emissie-eis (art. 4.1354 en art. 4.1361).</v>
      </c>
      <c r="AR71"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1" s="156"/>
      <c r="AT71" s="149"/>
      <c r="AU71" s="150"/>
      <c r="AV71" s="150"/>
      <c r="AW71" s="150"/>
      <c r="AX71" s="151"/>
    </row>
    <row r="72" spans="1:50" x14ac:dyDescent="0.2">
      <c r="A72" s="295"/>
      <c r="B72" s="339">
        <f t="shared" ca="1" si="98"/>
        <v>0</v>
      </c>
      <c r="C72" s="249">
        <f t="shared" ca="1" si="99"/>
        <v>0</v>
      </c>
      <c r="D72" s="246">
        <f t="shared" ca="1" si="100"/>
        <v>1</v>
      </c>
      <c r="E72" s="247">
        <f t="shared" ca="1" si="84"/>
        <v>1</v>
      </c>
      <c r="F72" s="247">
        <f t="shared" ca="1" si="24"/>
        <v>0</v>
      </c>
      <c r="G72" s="147">
        <f ca="1">IF(SI=5,1,0)</f>
        <v>0</v>
      </c>
      <c r="H72" s="147"/>
      <c r="I72" s="148"/>
      <c r="J72" s="147"/>
      <c r="K72" s="148"/>
      <c r="L72" s="147">
        <f ca="1">IF(OR(FBRAND1="g",FBRAND1="l"),1,0)</f>
        <v>1</v>
      </c>
      <c r="M72" s="248">
        <f t="shared" ca="1" si="85"/>
        <v>0</v>
      </c>
      <c r="N72" s="147">
        <f ca="1">IF(OR(FBRAND1="g",FBRAND1="l"),1,0)</f>
        <v>1</v>
      </c>
      <c r="O72" s="249">
        <f t="shared" ca="1" si="86"/>
        <v>0</v>
      </c>
      <c r="P72" s="44" t="s">
        <v>105</v>
      </c>
      <c r="Q72" s="149" t="s">
        <v>221</v>
      </c>
      <c r="R72" s="149" t="s">
        <v>223</v>
      </c>
      <c r="S72" s="284">
        <v>1</v>
      </c>
      <c r="T72" s="149">
        <v>5</v>
      </c>
      <c r="U72" s="150"/>
      <c r="V72" s="150"/>
      <c r="W72" s="150"/>
      <c r="X72" s="150"/>
      <c r="Y72" s="151"/>
      <c r="Z72" s="143"/>
      <c r="AA72" s="144"/>
      <c r="AB72" s="143"/>
      <c r="AC72" s="145"/>
      <c r="AD72" s="146"/>
      <c r="AE72" s="276" t="s">
        <v>253</v>
      </c>
      <c r="AF72" s="152" t="s">
        <v>164</v>
      </c>
      <c r="AG72" s="147"/>
      <c r="AH72" s="636"/>
      <c r="AI72" s="645"/>
      <c r="AJ72" s="269"/>
      <c r="AK72" s="626"/>
      <c r="AL72" s="147"/>
      <c r="AM72" s="655"/>
      <c r="AN72" s="834"/>
      <c r="AO72" s="325"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2" s="325" t="str">
        <f t="shared" si="101"/>
        <v xml:space="preserve">Een periodieke meting bestaat uit drie deelmetingen van 15-30 minuten. De metingen mogen worden uitgevoerd door een geaccrediteerde laboratorium volgens NEN-EN 14792 (art. 4.1354). </v>
      </c>
      <c r="AQ72" s="325" t="str">
        <f t="shared" si="101"/>
        <v>De aangetoonde meetonzekerheid mag niet groter zijn dan 20% van de emissie-eis (art. 4.1354 en art. 4.1361).</v>
      </c>
      <c r="AR72"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156"/>
      <c r="AT72" s="149"/>
      <c r="AU72" s="150"/>
      <c r="AV72" s="150"/>
      <c r="AW72" s="150"/>
      <c r="AX72" s="151"/>
    </row>
    <row r="73" spans="1:50" x14ac:dyDescent="0.2">
      <c r="A73" s="295"/>
      <c r="B73" s="339">
        <f t="shared" ca="1" si="98"/>
        <v>0</v>
      </c>
      <c r="C73" s="249">
        <f t="shared" ca="1" si="99"/>
        <v>0</v>
      </c>
      <c r="D73" s="246">
        <f t="shared" ca="1" si="100"/>
        <v>1</v>
      </c>
      <c r="E73" s="247">
        <f t="shared" ca="1" si="84"/>
        <v>1</v>
      </c>
      <c r="F73" s="247">
        <f t="shared" ca="1" si="24"/>
        <v>1</v>
      </c>
      <c r="G73" s="147">
        <f ca="1">IF(SI=5,1,0)</f>
        <v>0</v>
      </c>
      <c r="H73" s="147"/>
      <c r="I73" s="148"/>
      <c r="J73" s="147"/>
      <c r="K73" s="148"/>
      <c r="L73" s="147">
        <f ca="1">IF(OR(FBRAND1="g",FBRAND1="l"),1,0)</f>
        <v>1</v>
      </c>
      <c r="M73" s="248">
        <f t="shared" ca="1" si="85"/>
        <v>0</v>
      </c>
      <c r="N73" s="147">
        <f ca="1">IF(OR(FBRAND1="g",FBRAND1="l"),1,0)</f>
        <v>1</v>
      </c>
      <c r="O73" s="249">
        <f t="shared" ca="1" si="86"/>
        <v>0</v>
      </c>
      <c r="P73" s="44" t="s">
        <v>105</v>
      </c>
      <c r="Q73" s="149" t="s">
        <v>221</v>
      </c>
      <c r="R73" s="149" t="s">
        <v>223</v>
      </c>
      <c r="S73" s="149">
        <v>5</v>
      </c>
      <c r="T73" s="149"/>
      <c r="U73" s="150"/>
      <c r="V73" s="150"/>
      <c r="W73" s="150"/>
      <c r="X73" s="150"/>
      <c r="Y73" s="151"/>
      <c r="Z73" s="143"/>
      <c r="AA73" s="144"/>
      <c r="AB73" s="143"/>
      <c r="AC73" s="145"/>
      <c r="AD73" s="146"/>
      <c r="AE73" s="276" t="str">
        <f>AE72</f>
        <v>4.1347</v>
      </c>
      <c r="AF73" s="152" t="s">
        <v>164</v>
      </c>
      <c r="AG73" s="147"/>
      <c r="AH73" s="636"/>
      <c r="AI73" s="645"/>
      <c r="AJ73" s="269"/>
      <c r="AK73" s="626"/>
      <c r="AL73" s="147"/>
      <c r="AM73" s="655"/>
      <c r="AN73" s="834"/>
      <c r="AO73" s="325"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3" s="325" t="str">
        <f t="shared" si="101"/>
        <v xml:space="preserve">Een periodieke meting bestaat uit drie deelmetingen van 15-30 minuten. De metingen mogen worden uitgevoerd door een geaccrediteerde laboratorium volgens NEN-EN 14792 (art. 4.1354). </v>
      </c>
      <c r="AQ73" s="325" t="str">
        <f t="shared" si="101"/>
        <v>De aangetoonde meetonzekerheid mag niet groter zijn dan 20% van de emissie-eis (art. 4.1354 en art. 4.1361).</v>
      </c>
      <c r="AR73"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156"/>
      <c r="AT73" s="149"/>
      <c r="AU73" s="150"/>
      <c r="AV73" s="150"/>
      <c r="AW73" s="150"/>
      <c r="AX73" s="151"/>
    </row>
    <row r="74" spans="1:50" x14ac:dyDescent="0.2">
      <c r="A74" s="295"/>
      <c r="B74" s="339">
        <f t="shared" ca="1" si="98"/>
        <v>0</v>
      </c>
      <c r="C74" s="249">
        <f t="shared" ca="1" si="99"/>
        <v>0</v>
      </c>
      <c r="D74" s="246">
        <f t="shared" ca="1" si="100"/>
        <v>1</v>
      </c>
      <c r="E74" s="247">
        <f t="shared" ca="1" si="84"/>
        <v>1</v>
      </c>
      <c r="F74" s="247">
        <f t="shared" ca="1" si="24"/>
        <v>0</v>
      </c>
      <c r="G74" s="147">
        <f ca="1">IF(SI=4,1,0)</f>
        <v>0</v>
      </c>
      <c r="H74" s="147"/>
      <c r="I74" s="148"/>
      <c r="J74" s="147"/>
      <c r="K74" s="148"/>
      <c r="L74" s="147">
        <f ca="1">IF(FBRAND1="g",1,0)</f>
        <v>1</v>
      </c>
      <c r="M74" s="248">
        <f t="shared" ca="1" si="85"/>
        <v>0</v>
      </c>
      <c r="N74" s="147">
        <f ca="1">IF(FBRAND2="g",1,0)</f>
        <v>0</v>
      </c>
      <c r="O74" s="249">
        <f t="shared" ca="1" si="86"/>
        <v>0</v>
      </c>
      <c r="P74" s="44" t="s">
        <v>105</v>
      </c>
      <c r="Q74" s="149" t="s">
        <v>188</v>
      </c>
      <c r="R74" s="149" t="s">
        <v>178</v>
      </c>
      <c r="S74" s="149">
        <v>1</v>
      </c>
      <c r="T74" s="149">
        <v>2.5</v>
      </c>
      <c r="U74" s="150"/>
      <c r="V74" s="150"/>
      <c r="W74" s="150"/>
      <c r="X74" s="150"/>
      <c r="Y74" s="151"/>
      <c r="Z74" s="143"/>
      <c r="AA74" s="144"/>
      <c r="AB74" s="143"/>
      <c r="AC74" s="145"/>
      <c r="AD74" s="146"/>
      <c r="AE74" s="276" t="s">
        <v>254</v>
      </c>
      <c r="AF74" s="152" t="s">
        <v>227</v>
      </c>
      <c r="AG74" s="147"/>
      <c r="AH74" s="636"/>
      <c r="AI74" s="645"/>
      <c r="AJ74" s="269"/>
      <c r="AK74" s="626"/>
      <c r="AL74" s="147"/>
      <c r="AM74" s="655"/>
      <c r="AN74" s="834"/>
      <c r="AO74" s="325"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4" s="325" t="str">
        <f t="shared" si="101"/>
        <v xml:space="preserve">Een periodieke meting bestaat uit drie deelmetingen van 15-30 minuten. De metingen mogen worden uitgevoerd door een geaccrediteerde laboratorium volgens NEN-EN 14792 (art. 4.1354). </v>
      </c>
      <c r="AQ74" s="325" t="str">
        <f t="shared" si="101"/>
        <v>De aangetoonde meetonzekerheid mag niet groter zijn dan 20% van de emissie-eis (art. 4.1354 en art. 4.1361).</v>
      </c>
      <c r="AR74"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6"/>
      <c r="AT74" s="149"/>
      <c r="AU74" s="150"/>
      <c r="AV74" s="150"/>
      <c r="AW74" s="150"/>
      <c r="AX74" s="151"/>
    </row>
    <row r="75" spans="1:50" x14ac:dyDescent="0.2">
      <c r="A75" s="295"/>
      <c r="B75" s="339">
        <f t="shared" ca="1" si="98"/>
        <v>0</v>
      </c>
      <c r="C75" s="249">
        <f t="shared" ca="1" si="99"/>
        <v>0</v>
      </c>
      <c r="D75" s="246">
        <f t="shared" ca="1" si="100"/>
        <v>1</v>
      </c>
      <c r="E75" s="247">
        <f t="shared" ca="1" si="84"/>
        <v>1</v>
      </c>
      <c r="F75" s="247">
        <f t="shared" ca="1" si="24"/>
        <v>1</v>
      </c>
      <c r="G75" s="147">
        <f ca="1">IF(SI=4,1,0)</f>
        <v>0</v>
      </c>
      <c r="H75" s="147"/>
      <c r="I75" s="148"/>
      <c r="J75" s="147"/>
      <c r="K75" s="148"/>
      <c r="L75" s="147">
        <f ca="1">IF(FBRAND1="g",1,0)</f>
        <v>1</v>
      </c>
      <c r="M75" s="248">
        <f t="shared" ca="1" si="85"/>
        <v>0</v>
      </c>
      <c r="N75" s="147">
        <f ca="1">IF(FBRAND2="g",1,0)</f>
        <v>0</v>
      </c>
      <c r="O75" s="249">
        <f t="shared" ca="1" si="86"/>
        <v>0</v>
      </c>
      <c r="P75" s="44" t="s">
        <v>105</v>
      </c>
      <c r="Q75" s="149" t="s">
        <v>188</v>
      </c>
      <c r="R75" s="149" t="s">
        <v>178</v>
      </c>
      <c r="S75" s="149">
        <v>2.5</v>
      </c>
      <c r="T75" s="149"/>
      <c r="U75" s="150"/>
      <c r="V75" s="150"/>
      <c r="W75" s="150"/>
      <c r="X75" s="150"/>
      <c r="Y75" s="151"/>
      <c r="Z75" s="143"/>
      <c r="AA75" s="144"/>
      <c r="AB75" s="143"/>
      <c r="AC75" s="145"/>
      <c r="AD75" s="146"/>
      <c r="AE75" s="276" t="s">
        <v>254</v>
      </c>
      <c r="AF75" s="152" t="s">
        <v>176</v>
      </c>
      <c r="AG75" s="147"/>
      <c r="AH75" s="636"/>
      <c r="AI75" s="645"/>
      <c r="AJ75" s="269"/>
      <c r="AK75" s="626"/>
      <c r="AL75" s="147"/>
      <c r="AM75" s="655"/>
      <c r="AN75" s="834"/>
      <c r="AO75" s="325"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5" s="325" t="str">
        <f t="shared" si="101"/>
        <v xml:space="preserve">Een periodieke meting bestaat uit drie deelmetingen van 15-30 minuten. De metingen mogen worden uitgevoerd door een geaccrediteerde laboratorium volgens NEN-EN 14792 (art. 4.1354). </v>
      </c>
      <c r="AQ75" s="325" t="str">
        <f t="shared" si="101"/>
        <v>De aangetoonde meetonzekerheid mag niet groter zijn dan 20% van de emissie-eis (art. 4.1354 en art. 4.1361).</v>
      </c>
      <c r="AR75"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5" s="156"/>
      <c r="AT75" s="149"/>
      <c r="AU75" s="150"/>
      <c r="AV75" s="150"/>
      <c r="AW75" s="150"/>
      <c r="AX75" s="151"/>
    </row>
    <row r="76" spans="1:50" x14ac:dyDescent="0.2">
      <c r="A76" s="295"/>
      <c r="B76" s="339">
        <f t="shared" ca="1" si="98"/>
        <v>0</v>
      </c>
      <c r="C76" s="249">
        <f t="shared" ca="1" si="99"/>
        <v>0</v>
      </c>
      <c r="D76" s="246">
        <f t="shared" ca="1" si="100"/>
        <v>1</v>
      </c>
      <c r="E76" s="247">
        <f t="shared" ca="1" si="84"/>
        <v>1</v>
      </c>
      <c r="F76" s="247">
        <f t="shared" ca="1" si="24"/>
        <v>1</v>
      </c>
      <c r="G76" s="147">
        <f t="shared" ref="G76:G81" ca="1" si="103">IF(AND(TSI&gt;0,TSI&lt;3),1,0)</f>
        <v>1</v>
      </c>
      <c r="H76" s="147"/>
      <c r="I76" s="148"/>
      <c r="J76" s="147"/>
      <c r="K76" s="148"/>
      <c r="L76" s="147">
        <f ca="1">IF(AND(FBRAND1="s",BRAND1&lt;&gt;9,BRAND1&lt;&gt;10),1,0)</f>
        <v>0</v>
      </c>
      <c r="M76" s="248">
        <f t="shared" ca="1" si="85"/>
        <v>0</v>
      </c>
      <c r="N76" s="147">
        <f ca="1">IF(AND(FBRAND2="s",BRAND2&lt;&gt;9,BRAND2&lt;&gt;10),1,0)</f>
        <v>0</v>
      </c>
      <c r="O76" s="249">
        <f t="shared" ca="1" si="86"/>
        <v>0</v>
      </c>
      <c r="P76" s="44" t="s">
        <v>105</v>
      </c>
      <c r="Q76" s="149" t="s">
        <v>255</v>
      </c>
      <c r="R76" s="149" t="s">
        <v>256</v>
      </c>
      <c r="S76" s="149">
        <v>1</v>
      </c>
      <c r="T76" s="149"/>
      <c r="U76" s="150"/>
      <c r="V76" s="150"/>
      <c r="W76" s="150"/>
      <c r="X76" s="150"/>
      <c r="Y76" s="151"/>
      <c r="Z76" s="143"/>
      <c r="AA76" s="144"/>
      <c r="AB76" s="143"/>
      <c r="AC76" s="145"/>
      <c r="AD76" s="146"/>
      <c r="AE76" s="276" t="s">
        <v>261</v>
      </c>
      <c r="AF76" s="152" t="s">
        <v>122</v>
      </c>
      <c r="AG76" s="147"/>
      <c r="AH76" s="636" t="str">
        <f t="shared" ref="AH76:AH81" ca="1" si="104">IF(INGTOT&lt;=IWTMCP,CONCATENATE(" geldt vanaf ",IWTMCPbesttxt," (art. 4.1369)"),"")</f>
        <v xml:space="preserve"> geldt vanaf 1-1-2025 (art. 4.1369)</v>
      </c>
      <c r="AI76" s="645"/>
      <c r="AJ76" s="269"/>
      <c r="AK76" s="626"/>
      <c r="AL76" s="147"/>
      <c r="AM76" s="655"/>
      <c r="AN76" s="834"/>
      <c r="AO76" s="325"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6" s="325" t="str">
        <f t="shared" si="101"/>
        <v xml:space="preserve">Een periodieke meting bestaat uit drie deelmetingen van 15-30 minuten. De metingen mogen worden uitgevoerd door een geaccrediteerde laboratorium volgens NEN-EN 14792 (art. 4.1354). </v>
      </c>
      <c r="AQ76" s="325" t="str">
        <f t="shared" si="101"/>
        <v>De aangetoonde meetonzekerheid mag niet groter zijn dan 20% van de emissie-eis (art. 4.1354 en art. 4.1361).</v>
      </c>
      <c r="AR76"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6" s="156"/>
      <c r="AT76" s="149"/>
      <c r="AU76" s="150"/>
      <c r="AV76" s="150"/>
      <c r="AW76" s="150"/>
      <c r="AX76" s="151"/>
    </row>
    <row r="77" spans="1:50" x14ac:dyDescent="0.2">
      <c r="A77" s="295"/>
      <c r="B77" s="339">
        <f t="shared" ca="1" si="98"/>
        <v>0</v>
      </c>
      <c r="C77" s="249">
        <f t="shared" ca="1" si="99"/>
        <v>0</v>
      </c>
      <c r="D77" s="246">
        <f t="shared" ca="1" si="100"/>
        <v>1</v>
      </c>
      <c r="E77" s="247">
        <f t="shared" ca="1" si="84"/>
        <v>1</v>
      </c>
      <c r="F77" s="247">
        <f t="shared" ca="1" si="24"/>
        <v>1</v>
      </c>
      <c r="G77" s="147">
        <f t="shared" ca="1" si="103"/>
        <v>1</v>
      </c>
      <c r="H77" s="147"/>
      <c r="I77" s="148"/>
      <c r="J77" s="147"/>
      <c r="K77" s="148"/>
      <c r="L77" s="147">
        <f ca="1">IF(AND(FBRAND1="l",BRAND1&lt;&gt;8),1,0)</f>
        <v>0</v>
      </c>
      <c r="M77" s="248">
        <f t="shared" ca="1" si="85"/>
        <v>0</v>
      </c>
      <c r="N77" s="147">
        <f ca="1">IF(AND(FBRAND2="l",BRAND2&lt;&gt;8),1,0)</f>
        <v>0</v>
      </c>
      <c r="O77" s="249">
        <f t="shared" ca="1" si="86"/>
        <v>0</v>
      </c>
      <c r="P77" s="44" t="s">
        <v>105</v>
      </c>
      <c r="Q77" s="149" t="s">
        <v>255</v>
      </c>
      <c r="R77" s="149" t="s">
        <v>257</v>
      </c>
      <c r="S77" s="149">
        <v>1</v>
      </c>
      <c r="T77" s="149"/>
      <c r="U77" s="150"/>
      <c r="V77" s="150"/>
      <c r="W77" s="150"/>
      <c r="X77" s="150"/>
      <c r="Y77" s="151"/>
      <c r="Z77" s="143"/>
      <c r="AA77" s="144"/>
      <c r="AB77" s="143"/>
      <c r="AC77" s="145"/>
      <c r="AD77" s="146"/>
      <c r="AE77" s="276" t="s">
        <v>261</v>
      </c>
      <c r="AF77" s="152" t="s">
        <v>163</v>
      </c>
      <c r="AG77" s="147"/>
      <c r="AH77" s="636" t="str">
        <f t="shared" ca="1" si="104"/>
        <v xml:space="preserve"> geldt vanaf 1-1-2025 (art. 4.1369)</v>
      </c>
      <c r="AI77" s="645"/>
      <c r="AJ77" s="269"/>
      <c r="AK77" s="626"/>
      <c r="AL77" s="147"/>
      <c r="AM77" s="655"/>
      <c r="AN77" s="834"/>
      <c r="AO77" s="325"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7" s="325" t="str">
        <f t="shared" si="101"/>
        <v xml:space="preserve">Een periodieke meting bestaat uit drie deelmetingen van 15-30 minuten. De metingen mogen worden uitgevoerd door een geaccrediteerde laboratorium volgens NEN-EN 14792 (art. 4.1354). </v>
      </c>
      <c r="AQ77" s="325" t="str">
        <f t="shared" si="101"/>
        <v>De aangetoonde meetonzekerheid mag niet groter zijn dan 20% van de emissie-eis (art. 4.1354 en art. 4.1361).</v>
      </c>
      <c r="AR77"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7" s="156"/>
      <c r="AT77" s="149"/>
      <c r="AU77" s="150"/>
      <c r="AV77" s="150"/>
      <c r="AW77" s="150"/>
      <c r="AX77" s="151"/>
    </row>
    <row r="78" spans="1:50" x14ac:dyDescent="0.2">
      <c r="A78" s="295"/>
      <c r="B78" s="745">
        <f t="shared" ca="1" si="98"/>
        <v>0</v>
      </c>
      <c r="C78" s="249">
        <f t="shared" ca="1" si="99"/>
        <v>0</v>
      </c>
      <c r="D78" s="246">
        <f t="shared" ca="1" si="100"/>
        <v>1</v>
      </c>
      <c r="E78" s="247">
        <f t="shared" ca="1" si="84"/>
        <v>1</v>
      </c>
      <c r="F78" s="247">
        <f t="shared" ca="1" si="24"/>
        <v>1</v>
      </c>
      <c r="G78" s="147">
        <f t="shared" ca="1" si="103"/>
        <v>1</v>
      </c>
      <c r="H78" s="147"/>
      <c r="I78" s="148"/>
      <c r="J78" s="147"/>
      <c r="K78" s="148"/>
      <c r="L78" s="147">
        <f ca="1">IF(AND(BRAND1&gt;=8,BRAND1&lt;=10),1,0)</f>
        <v>0</v>
      </c>
      <c r="M78" s="248">
        <f t="shared" ca="1" si="85"/>
        <v>0</v>
      </c>
      <c r="N78" s="147">
        <f ca="1">IF(AND(BRAND2&gt;=8,BRAND2&lt;=10),1,0)</f>
        <v>0</v>
      </c>
      <c r="O78" s="249">
        <f t="shared" ca="1" si="86"/>
        <v>0</v>
      </c>
      <c r="P78" s="44" t="s">
        <v>105</v>
      </c>
      <c r="Q78" s="149" t="s">
        <v>255</v>
      </c>
      <c r="R78" s="149" t="s">
        <v>206</v>
      </c>
      <c r="S78" s="149">
        <v>1</v>
      </c>
      <c r="T78" s="149"/>
      <c r="U78" s="150"/>
      <c r="V78" s="150"/>
      <c r="W78" s="150"/>
      <c r="X78" s="150"/>
      <c r="Y78" s="151"/>
      <c r="Z78" s="143"/>
      <c r="AA78" s="144"/>
      <c r="AB78" s="757">
        <f>IWTBAL</f>
        <v>45292</v>
      </c>
      <c r="AC78" s="145"/>
      <c r="AD78" s="146"/>
      <c r="AE78" s="276" t="s">
        <v>261</v>
      </c>
      <c r="AF78" s="762" t="s">
        <v>122</v>
      </c>
      <c r="AG78" s="147"/>
      <c r="AH78" s="636" t="str">
        <f t="shared" ca="1" si="104"/>
        <v xml:space="preserve"> geldt vanaf 1-1-2025 (art. 4.1369)</v>
      </c>
      <c r="AI78" s="645"/>
      <c r="AJ78" s="269"/>
      <c r="AK78" s="626"/>
      <c r="AL78" s="147"/>
      <c r="AM78" s="655"/>
      <c r="AN78" s="834"/>
      <c r="AO78" s="325"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8" s="325" t="str">
        <f t="shared" si="101"/>
        <v xml:space="preserve">Een periodieke meting bestaat uit drie deelmetingen van 15-30 minuten. De metingen mogen worden uitgevoerd door een geaccrediteerde laboratorium volgens NEN-EN 14792 (art. 4.1354). </v>
      </c>
      <c r="AQ78" s="325" t="str">
        <f t="shared" si="101"/>
        <v>De aangetoonde meetonzekerheid mag niet groter zijn dan 20% van de emissie-eis (art. 4.1354 en art. 4.1361).</v>
      </c>
      <c r="AR78"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8" s="156"/>
      <c r="AT78" s="149"/>
      <c r="AU78" s="150"/>
      <c r="AV78" s="150"/>
      <c r="AW78" s="150"/>
      <c r="AX78" s="151"/>
    </row>
    <row r="79" spans="1:50" x14ac:dyDescent="0.2">
      <c r="A79" s="295"/>
      <c r="B79" s="339">
        <f t="shared" ca="1" si="98"/>
        <v>0</v>
      </c>
      <c r="C79" s="249">
        <f t="shared" ca="1" si="99"/>
        <v>0</v>
      </c>
      <c r="D79" s="246">
        <f t="shared" ca="1" si="100"/>
        <v>1</v>
      </c>
      <c r="E79" s="247">
        <f t="shared" ca="1" si="84"/>
        <v>1</v>
      </c>
      <c r="F79" s="247">
        <f t="shared" ca="1" si="24"/>
        <v>1</v>
      </c>
      <c r="G79" s="147">
        <f t="shared" ca="1" si="103"/>
        <v>1</v>
      </c>
      <c r="H79" s="147"/>
      <c r="I79" s="148"/>
      <c r="J79" s="147"/>
      <c r="K79" s="148"/>
      <c r="L79" s="147">
        <f ca="1">IF(AND(FBRAND1="g",BRAND1&lt;&gt;12,BRAND1&lt;&gt;13),1,0)</f>
        <v>1</v>
      </c>
      <c r="M79" s="248">
        <f t="shared" ca="1" si="85"/>
        <v>0</v>
      </c>
      <c r="N79" s="147">
        <f ca="1">IF(AND(FBRAND2="g",BRAND2&lt;&gt;12,BRAND2&lt;&gt;13),1,0)</f>
        <v>0</v>
      </c>
      <c r="O79" s="249">
        <f t="shared" ca="1" si="86"/>
        <v>0</v>
      </c>
      <c r="P79" s="44" t="s">
        <v>105</v>
      </c>
      <c r="Q79" s="149" t="s">
        <v>255</v>
      </c>
      <c r="R79" s="149" t="s">
        <v>258</v>
      </c>
      <c r="S79" s="149">
        <v>1</v>
      </c>
      <c r="T79" s="149"/>
      <c r="U79" s="150"/>
      <c r="V79" s="150"/>
      <c r="W79" s="150"/>
      <c r="X79" s="150"/>
      <c r="Y79" s="151"/>
      <c r="Z79" s="143"/>
      <c r="AA79" s="144"/>
      <c r="AB79" s="143"/>
      <c r="AC79" s="145"/>
      <c r="AD79" s="146"/>
      <c r="AE79" s="276" t="s">
        <v>261</v>
      </c>
      <c r="AF79" s="152" t="s">
        <v>127</v>
      </c>
      <c r="AG79" s="147"/>
      <c r="AH79" s="636" t="str">
        <f t="shared" ca="1" si="104"/>
        <v xml:space="preserve"> geldt vanaf 1-1-2025 (art. 4.1369)</v>
      </c>
      <c r="AI79" s="645"/>
      <c r="AJ79" s="269"/>
      <c r="AK79" s="626"/>
      <c r="AL79" s="147"/>
      <c r="AM79" s="655"/>
      <c r="AN79" s="834"/>
      <c r="AO79" s="325"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9" s="325" t="str">
        <f t="shared" si="101"/>
        <v xml:space="preserve">Een periodieke meting bestaat uit drie deelmetingen van 15-30 minuten. De metingen mogen worden uitgevoerd door een geaccrediteerde laboratorium volgens NEN-EN 14792 (art. 4.1354). </v>
      </c>
      <c r="AQ79" s="325" t="str">
        <f t="shared" si="101"/>
        <v>De aangetoonde meetonzekerheid mag niet groter zijn dan 20% van de emissie-eis (art. 4.1354 en art. 4.1361).</v>
      </c>
      <c r="AR79"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9" s="156"/>
      <c r="AT79" s="149"/>
      <c r="AU79" s="150"/>
      <c r="AV79" s="150"/>
      <c r="AW79" s="150"/>
      <c r="AX79" s="151"/>
    </row>
    <row r="80" spans="1:50" x14ac:dyDescent="0.2">
      <c r="A80" s="295"/>
      <c r="B80" s="339">
        <f t="shared" ca="1" si="98"/>
        <v>0</v>
      </c>
      <c r="C80" s="249">
        <f t="shared" ca="1" si="99"/>
        <v>0</v>
      </c>
      <c r="D80" s="246">
        <f t="shared" ca="1" si="100"/>
        <v>1</v>
      </c>
      <c r="E80" s="247">
        <f t="shared" ca="1" si="84"/>
        <v>1</v>
      </c>
      <c r="F80" s="247">
        <f t="shared" ca="1" si="24"/>
        <v>1</v>
      </c>
      <c r="G80" s="147">
        <f t="shared" ca="1" si="103"/>
        <v>1</v>
      </c>
      <c r="H80" s="147"/>
      <c r="I80" s="148"/>
      <c r="J80" s="147"/>
      <c r="K80" s="148"/>
      <c r="L80" s="147">
        <f ca="1">IF(BRAND1=12,1,0)</f>
        <v>0</v>
      </c>
      <c r="M80" s="248">
        <f t="shared" ca="1" si="85"/>
        <v>0</v>
      </c>
      <c r="N80" s="147">
        <f ca="1">IF(BRAND2=12,1,0)</f>
        <v>0</v>
      </c>
      <c r="O80" s="249">
        <f t="shared" ca="1" si="86"/>
        <v>0</v>
      </c>
      <c r="P80" s="44" t="s">
        <v>105</v>
      </c>
      <c r="Q80" s="149" t="s">
        <v>255</v>
      </c>
      <c r="R80" s="149" t="s">
        <v>259</v>
      </c>
      <c r="S80" s="149">
        <v>1</v>
      </c>
      <c r="T80" s="149"/>
      <c r="U80" s="150"/>
      <c r="V80" s="150"/>
      <c r="W80" s="150"/>
      <c r="X80" s="150"/>
      <c r="Y80" s="151"/>
      <c r="Z80" s="143"/>
      <c r="AA80" s="144"/>
      <c r="AB80" s="143"/>
      <c r="AC80" s="145"/>
      <c r="AD80" s="146"/>
      <c r="AE80" s="276" t="s">
        <v>261</v>
      </c>
      <c r="AF80" s="152" t="s">
        <v>122</v>
      </c>
      <c r="AG80" s="147"/>
      <c r="AH80" s="636" t="str">
        <f t="shared" ca="1" si="104"/>
        <v xml:space="preserve"> geldt vanaf 1-1-2025 (art. 4.1369)</v>
      </c>
      <c r="AI80" s="645"/>
      <c r="AJ80" s="269"/>
      <c r="AK80" s="626"/>
      <c r="AL80" s="147"/>
      <c r="AM80" s="655"/>
      <c r="AN80" s="834"/>
      <c r="AO80" s="325"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80" s="325" t="str">
        <f t="shared" si="101"/>
        <v xml:space="preserve">Een periodieke meting bestaat uit drie deelmetingen van 15-30 minuten. De metingen mogen worden uitgevoerd door een geaccrediteerde laboratorium volgens NEN-EN 14792 (art. 4.1354). </v>
      </c>
      <c r="AQ80" s="325" t="str">
        <f t="shared" si="101"/>
        <v>De aangetoonde meetonzekerheid mag niet groter zijn dan 20% van de emissie-eis (art. 4.1354 en art. 4.1361).</v>
      </c>
      <c r="AR80"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0" s="156"/>
      <c r="AT80" s="149"/>
      <c r="AU80" s="150"/>
      <c r="AV80" s="150"/>
      <c r="AW80" s="150"/>
      <c r="AX80" s="151"/>
    </row>
    <row r="81" spans="1:58" x14ac:dyDescent="0.2">
      <c r="A81" s="295"/>
      <c r="B81" s="339">
        <f t="shared" ca="1" si="98"/>
        <v>0</v>
      </c>
      <c r="C81" s="249">
        <f t="shared" ca="1" si="99"/>
        <v>0</v>
      </c>
      <c r="D81" s="246">
        <f t="shared" ca="1" si="100"/>
        <v>1</v>
      </c>
      <c r="E81" s="247">
        <f t="shared" ca="1" si="84"/>
        <v>1</v>
      </c>
      <c r="F81" s="247">
        <f t="shared" ca="1" si="24"/>
        <v>1</v>
      </c>
      <c r="G81" s="147">
        <f t="shared" ca="1" si="103"/>
        <v>1</v>
      </c>
      <c r="H81" s="147"/>
      <c r="I81" s="148"/>
      <c r="J81" s="147"/>
      <c r="K81" s="148"/>
      <c r="L81" s="147">
        <f ca="1">IF(BRAND1=13,1,0)</f>
        <v>0</v>
      </c>
      <c r="M81" s="248">
        <f t="shared" ca="1" si="85"/>
        <v>0</v>
      </c>
      <c r="N81" s="147">
        <f ca="1">IF(BRAND2=13,1,0)</f>
        <v>0</v>
      </c>
      <c r="O81" s="249">
        <f t="shared" ca="1" si="86"/>
        <v>0</v>
      </c>
      <c r="P81" s="44" t="s">
        <v>105</v>
      </c>
      <c r="Q81" s="149" t="s">
        <v>255</v>
      </c>
      <c r="R81" s="149" t="s">
        <v>260</v>
      </c>
      <c r="S81" s="149">
        <v>1</v>
      </c>
      <c r="T81" s="149"/>
      <c r="U81" s="150"/>
      <c r="V81" s="150"/>
      <c r="W81" s="150"/>
      <c r="X81" s="150"/>
      <c r="Y81" s="151"/>
      <c r="Z81" s="143"/>
      <c r="AA81" s="144"/>
      <c r="AB81" s="143"/>
      <c r="AC81" s="145"/>
      <c r="AD81" s="146"/>
      <c r="AE81" s="276" t="s">
        <v>261</v>
      </c>
      <c r="AF81" s="152" t="s">
        <v>122</v>
      </c>
      <c r="AG81" s="147"/>
      <c r="AH81" s="636" t="str">
        <f t="shared" ca="1" si="104"/>
        <v xml:space="preserve"> geldt vanaf 1-1-2025 (art. 4.1369)</v>
      </c>
      <c r="AI81" s="645"/>
      <c r="AJ81" s="269"/>
      <c r="AK81" s="626"/>
      <c r="AL81" s="147"/>
      <c r="AM81" s="655"/>
      <c r="AN81" s="834"/>
      <c r="AO81" s="325"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81" s="325" t="str">
        <f t="shared" si="101"/>
        <v xml:space="preserve">Een periodieke meting bestaat uit drie deelmetingen van 15-30 minuten. De metingen mogen worden uitgevoerd door een geaccrediteerde laboratorium volgens NEN-EN 14792 (art. 4.1354). </v>
      </c>
      <c r="AQ81" s="325" t="str">
        <f t="shared" si="101"/>
        <v>De aangetoonde meetonzekerheid mag niet groter zijn dan 20% van de emissie-eis (art. 4.1354 en art. 4.1361).</v>
      </c>
      <c r="AR81"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1" s="156"/>
      <c r="AT81" s="149"/>
      <c r="AU81" s="150"/>
      <c r="AV81" s="150"/>
      <c r="AW81" s="150"/>
      <c r="AX81" s="151"/>
    </row>
    <row r="82" spans="1:58" x14ac:dyDescent="0.2">
      <c r="A82" s="295"/>
      <c r="B82" s="340"/>
      <c r="C82" s="341"/>
      <c r="D82" s="326"/>
      <c r="E82" s="46"/>
      <c r="F82" s="46"/>
      <c r="G82" s="147"/>
      <c r="H82" s="147"/>
      <c r="I82" s="148"/>
      <c r="J82" s="147"/>
      <c r="K82" s="148"/>
      <c r="L82" s="147"/>
      <c r="M82" s="56"/>
      <c r="N82" s="147"/>
      <c r="O82" s="59"/>
      <c r="P82" s="279"/>
      <c r="Q82" s="160"/>
      <c r="R82" s="149"/>
      <c r="S82" s="149"/>
      <c r="T82" s="149"/>
      <c r="U82" s="150"/>
      <c r="V82" s="150"/>
      <c r="W82" s="150"/>
      <c r="X82" s="150"/>
      <c r="Y82" s="151"/>
      <c r="Z82" s="143"/>
      <c r="AA82" s="144"/>
      <c r="AB82" s="143"/>
      <c r="AC82" s="145"/>
      <c r="AD82" s="146"/>
      <c r="AE82" s="276"/>
      <c r="AF82" s="152"/>
      <c r="AG82" s="147"/>
      <c r="AH82" s="636"/>
      <c r="AI82" s="645"/>
      <c r="AJ82" s="269"/>
      <c r="AK82" s="626"/>
      <c r="AL82" s="147"/>
      <c r="AM82" s="655"/>
      <c r="AN82" s="835"/>
      <c r="AO82" s="155"/>
      <c r="AP82" s="155"/>
      <c r="AQ82" s="155"/>
      <c r="AR82" s="155"/>
      <c r="AS82" s="149"/>
      <c r="AT82" s="155"/>
      <c r="AU82" s="157"/>
      <c r="AV82" s="157"/>
      <c r="AW82" s="157"/>
      <c r="AX82" s="151"/>
    </row>
    <row r="83" spans="1:58" x14ac:dyDescent="0.2">
      <c r="A83" s="363" t="s">
        <v>340</v>
      </c>
      <c r="B83" s="364"/>
      <c r="C83" s="365"/>
      <c r="D83" s="366"/>
      <c r="E83" s="367"/>
      <c r="F83" s="367"/>
      <c r="G83" s="368"/>
      <c r="H83" s="368"/>
      <c r="I83" s="369"/>
      <c r="J83" s="368"/>
      <c r="K83" s="369"/>
      <c r="L83" s="368"/>
      <c r="M83" s="370"/>
      <c r="N83" s="368"/>
      <c r="O83" s="371"/>
      <c r="P83" s="372"/>
      <c r="Q83" s="373"/>
      <c r="R83" s="374"/>
      <c r="S83" s="374"/>
      <c r="T83" s="374"/>
      <c r="U83" s="375"/>
      <c r="V83" s="375"/>
      <c r="W83" s="375"/>
      <c r="X83" s="375"/>
      <c r="Y83" s="376"/>
      <c r="Z83" s="377"/>
      <c r="AA83" s="378"/>
      <c r="AB83" s="377"/>
      <c r="AC83" s="379"/>
      <c r="AD83" s="380"/>
      <c r="AE83" s="381"/>
      <c r="AF83" s="382"/>
      <c r="AG83" s="368"/>
      <c r="AH83" s="637"/>
      <c r="AI83" s="646"/>
      <c r="AJ83" s="383"/>
      <c r="AK83" s="627"/>
      <c r="AL83" s="368"/>
      <c r="AM83" s="656"/>
      <c r="AN83" s="836"/>
      <c r="AO83" s="346" t="str">
        <f ca="1">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83" s="346" t="s">
        <v>262</v>
      </c>
      <c r="AQ83" s="346" t="s">
        <v>263</v>
      </c>
      <c r="AR83" s="346" t="s">
        <v>264</v>
      </c>
      <c r="AS83" s="346"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83" s="336"/>
      <c r="AU83" s="337"/>
      <c r="AV83" s="337"/>
      <c r="AW83" s="337"/>
      <c r="AX83" s="335"/>
    </row>
    <row r="84" spans="1:58" x14ac:dyDescent="0.2">
      <c r="A84" s="295"/>
      <c r="B84" s="745">
        <f t="shared" ref="B84" ca="1" si="105">IF(AND(SUM(D84:K84,L84:M84)=COUNT(D84:K84,L84:M84),COUNT(D84:K84,L84:M84)&gt;0),ROW(B84),0)</f>
        <v>0</v>
      </c>
      <c r="C84" s="746">
        <f t="shared" ref="C84" ca="1" si="106">IF(AND(SUM(D84:K84,N84:O84)=COUNT(D84:K84,N84:O84),COUNT(D84:K84,N84:O84)&gt;0),ROW(B84),0)</f>
        <v>0</v>
      </c>
      <c r="D84" s="747">
        <f t="shared" ref="D84" ca="1" si="107">IF(AND(OR($Z84="",INGVAN="",$Z84&lt;=INGVAN),OR($Z84="",INGTOT="",$Z84&lt;=INGTOT),OR($AA84="",INGVAN="",$AA84&gt;=INGVAN),OR($AA84="",INGTOT="",$AA84&gt;=INGTOT)),1,0)</f>
        <v>1</v>
      </c>
      <c r="E84" s="748">
        <f t="shared" ref="E84" ca="1" si="108">IF(AND(OR($AB84="",Tdatum&gt;=$AB84,AND(AB84&lt;&gt;"",ISNUMBER(FIND("j",LOWER(AD84))))),OR($AC84="",Tdatum&lt;=$AC84)),1,0)</f>
        <v>1</v>
      </c>
      <c r="F84" s="748">
        <f t="shared" ca="1" si="24"/>
        <v>1</v>
      </c>
      <c r="G84" s="749">
        <f t="shared" ref="G84" ca="1" si="109">IF(AND(TSI&gt;0,TSI&lt;3),1,0)</f>
        <v>1</v>
      </c>
      <c r="H84" s="749"/>
      <c r="I84" s="750"/>
      <c r="J84" s="749"/>
      <c r="K84" s="750"/>
      <c r="L84" s="749">
        <f ca="1">IF(AND(BRAND1&gt;=8,BRAND1&lt;=10),1,0)</f>
        <v>0</v>
      </c>
      <c r="M84" s="751">
        <f t="shared" ref="M84" ca="1" si="110">IF(AND(ParBAL1&lt;&gt;"",ParBAL1=P84),1,0)</f>
        <v>0</v>
      </c>
      <c r="N84" s="749">
        <f ca="1">IF(AND(BRAND2&gt;=8,BRAND2&lt;=10),1,0)</f>
        <v>0</v>
      </c>
      <c r="O84" s="746">
        <f t="shared" ref="O84" ca="1" si="111">IF(AND(ParBAL2&lt;&gt;"",ParBAL2=P84),1,0)</f>
        <v>0</v>
      </c>
      <c r="P84" s="752" t="s">
        <v>105</v>
      </c>
      <c r="Q84" s="753" t="s">
        <v>255</v>
      </c>
      <c r="R84" s="753" t="s">
        <v>206</v>
      </c>
      <c r="S84" s="753">
        <v>1</v>
      </c>
      <c r="T84" s="753"/>
      <c r="U84" s="755"/>
      <c r="V84" s="755"/>
      <c r="W84" s="755"/>
      <c r="X84" s="755"/>
      <c r="Y84" s="756"/>
      <c r="Z84" s="757"/>
      <c r="AA84" s="758">
        <f>IWTBAL-1</f>
        <v>45291</v>
      </c>
      <c r="AB84" s="757"/>
      <c r="AC84" s="759"/>
      <c r="AD84" s="760"/>
      <c r="AE84" s="761" t="s">
        <v>516</v>
      </c>
      <c r="AF84" s="762" t="s">
        <v>214</v>
      </c>
      <c r="AG84" s="749"/>
      <c r="AH84" s="764" t="str">
        <f t="shared" ref="AH84" ca="1" si="112">IF(INGTOT&lt;=IWTMCP,CONCATENATE(" geldt vanaf ",IWTMCPbesttxt," (art. 4.1369)"),"")</f>
        <v xml:space="preserve"> geldt vanaf 1-1-2025 (art. 4.1369)</v>
      </c>
      <c r="AI84" s="765"/>
      <c r="AJ84" s="766"/>
      <c r="AK84" s="797"/>
      <c r="AL84" s="749"/>
      <c r="AM84" s="768"/>
      <c r="AN84" s="844"/>
      <c r="AO84" s="753" t="str">
        <f t="shared" ref="AO84:AR84" ca="1" si="113">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84" s="753" t="str">
        <f t="shared" si="113"/>
        <v xml:space="preserve">Een periodieke meting bestaat uit drie deelmetingen van 15-30 minuten. De metingen mogen worden uitgevoerd door een geaccrediteerde laboratorium volgens NEN-EN 14792 (art. 4.1354). </v>
      </c>
      <c r="AQ84" s="753" t="str">
        <f t="shared" si="113"/>
        <v>De aangetoonde meetonzekerheid mag niet groter zijn dan 20% van de emissie-eis (art. 4.1354 en art. 4.1361).</v>
      </c>
      <c r="AR84" s="753" t="str">
        <f t="shared" si="11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4" s="798"/>
      <c r="AT84" s="753"/>
      <c r="AU84" s="755"/>
      <c r="AV84" s="755"/>
      <c r="AW84" s="755"/>
      <c r="AX84" s="756"/>
      <c r="AY84" s="771"/>
      <c r="AZ84" s="771"/>
      <c r="BA84" s="771"/>
      <c r="BB84" s="771"/>
      <c r="BC84" s="771"/>
      <c r="BD84" s="771"/>
      <c r="BE84" s="771"/>
      <c r="BF84" s="771"/>
    </row>
    <row r="85" spans="1:58" x14ac:dyDescent="0.2">
      <c r="A85" s="584"/>
      <c r="B85" s="585"/>
      <c r="C85" s="586"/>
      <c r="D85" s="587"/>
      <c r="E85" s="588"/>
      <c r="F85" s="588"/>
      <c r="G85" s="589"/>
      <c r="H85" s="589"/>
      <c r="I85" s="590"/>
      <c r="J85" s="589"/>
      <c r="K85" s="590"/>
      <c r="L85" s="589"/>
      <c r="M85" s="591"/>
      <c r="N85" s="589"/>
      <c r="O85" s="592"/>
      <c r="P85" s="593"/>
      <c r="Q85" s="594"/>
      <c r="R85" s="595"/>
      <c r="S85" s="595"/>
      <c r="T85" s="595"/>
      <c r="U85" s="596"/>
      <c r="V85" s="596"/>
      <c r="W85" s="596"/>
      <c r="X85" s="596"/>
      <c r="Y85" s="597"/>
      <c r="Z85" s="598"/>
      <c r="AA85" s="599"/>
      <c r="AB85" s="598"/>
      <c r="AC85" s="600"/>
      <c r="AD85" s="601"/>
      <c r="AE85" s="602"/>
      <c r="AF85" s="603"/>
      <c r="AG85" s="589"/>
      <c r="AH85" s="638"/>
      <c r="AI85" s="647"/>
      <c r="AJ85" s="604"/>
      <c r="AK85" s="628"/>
      <c r="AL85" s="589"/>
      <c r="AM85" s="657"/>
      <c r="AN85" s="837"/>
      <c r="AO85" s="606"/>
      <c r="AP85" s="606"/>
      <c r="AQ85" s="606"/>
      <c r="AR85" s="606"/>
      <c r="AS85" s="595"/>
      <c r="AT85" s="606"/>
      <c r="AU85" s="607"/>
      <c r="AV85" s="607"/>
      <c r="AW85" s="607"/>
      <c r="AX85" s="597"/>
    </row>
    <row r="86" spans="1:58" x14ac:dyDescent="0.2">
      <c r="A86" s="393" t="s">
        <v>291</v>
      </c>
      <c r="B86" s="394"/>
      <c r="C86" s="395"/>
      <c r="D86" s="396"/>
      <c r="E86" s="397"/>
      <c r="F86" s="397"/>
      <c r="G86" s="398"/>
      <c r="H86" s="398"/>
      <c r="I86" s="399"/>
      <c r="J86" s="398"/>
      <c r="K86" s="399"/>
      <c r="L86" s="398"/>
      <c r="M86" s="400"/>
      <c r="N86" s="398"/>
      <c r="O86" s="401"/>
      <c r="P86" s="402"/>
      <c r="Q86" s="403"/>
      <c r="R86" s="404"/>
      <c r="S86" s="404"/>
      <c r="T86" s="404"/>
      <c r="U86" s="405"/>
      <c r="V86" s="405"/>
      <c r="W86" s="405"/>
      <c r="X86" s="405"/>
      <c r="Y86" s="406"/>
      <c r="Z86" s="407"/>
      <c r="AA86" s="408"/>
      <c r="AB86" s="407"/>
      <c r="AC86" s="409"/>
      <c r="AD86" s="410"/>
      <c r="AE86" s="411"/>
      <c r="AF86" s="412"/>
      <c r="AG86" s="398"/>
      <c r="AH86" s="639"/>
      <c r="AI86" s="648"/>
      <c r="AJ86" s="413"/>
      <c r="AK86" s="629"/>
      <c r="AL86" s="398"/>
      <c r="AM86" s="658"/>
      <c r="AN86" s="838"/>
      <c r="AO86" s="333" t="s">
        <v>501</v>
      </c>
      <c r="AP86" s="333" t="s">
        <v>280</v>
      </c>
      <c r="AQ86" s="333" t="s">
        <v>279</v>
      </c>
      <c r="AR86" s="333" t="s">
        <v>499</v>
      </c>
      <c r="AS86" s="327"/>
      <c r="AT86" s="330"/>
      <c r="AU86" s="331"/>
      <c r="AV86" s="331"/>
      <c r="AW86" s="331"/>
      <c r="AX86" s="328"/>
    </row>
    <row r="87" spans="1:58" x14ac:dyDescent="0.2">
      <c r="A87" s="295"/>
      <c r="B87" s="339">
        <f t="shared" ref="B87" ca="1" si="114">IF(AND(SUM(D87:K87,L87:M87)=COUNT(D87:K87,L87:M87),COUNT(D87:K87,L87:M87)&gt;0),ROW(B87),0)</f>
        <v>0</v>
      </c>
      <c r="C87" s="249">
        <f t="shared" ref="C87" ca="1" si="115">IF(AND(SUM(D87:K87,N87:O87)=COUNT(D87:K87,N87:O87),COUNT(D87:K87,N87:O87)&gt;0),ROW(B87),0)</f>
        <v>0</v>
      </c>
      <c r="D87" s="246">
        <f ca="1">IF(AND(OR($Z87="",INGVAN="",$Z87&lt;=INGVAN),OR($Z87="",INGTOT="",$Z87&lt;=INGTOT),OR($AA87="",INGVAN="",$AA87&gt;=INGVAN),OR($AA87="",INGTOT="",$AA87&gt;=INGTOT)),1,0)</f>
        <v>1</v>
      </c>
      <c r="E87" s="247">
        <f t="shared" ref="E87" ca="1" si="116">IF(AND(OR($AB87="",Tdatum&gt;=$AB87,AND(AB87&lt;&gt;"",ISNUMBER(FIND("j",LOWER(AD87))))),OR($AC87="",Tdatum&lt;=$AC87)),1,0)</f>
        <v>1</v>
      </c>
      <c r="F87" s="247">
        <f t="shared" ref="F87" ca="1" si="117">IF(AND(OR($S87="",MW&gt;=$S87),OR($T87="",$T87&gt;MW)),1,0)</f>
        <v>1</v>
      </c>
      <c r="G87" s="147">
        <f ca="1">IF(TSI=3,1,0)</f>
        <v>0</v>
      </c>
      <c r="H87" s="147"/>
      <c r="I87" s="148"/>
      <c r="J87" s="147"/>
      <c r="K87" s="148"/>
      <c r="L87" s="147">
        <f ca="1">IF(TBRAND1&lt;&gt;3,1,0)</f>
        <v>1</v>
      </c>
      <c r="M87" s="56"/>
      <c r="N87" s="148">
        <f ca="1">IF(AND(ABRAND2&gt;0,TBRAND2&lt;&gt;3),1,0)</f>
        <v>0</v>
      </c>
      <c r="O87" s="59"/>
      <c r="P87" s="279" t="s">
        <v>41</v>
      </c>
      <c r="Q87" s="149" t="s">
        <v>532</v>
      </c>
      <c r="R87" s="149" t="s">
        <v>277</v>
      </c>
      <c r="S87" s="149">
        <v>0.1</v>
      </c>
      <c r="T87" s="149"/>
      <c r="U87" s="150" t="s">
        <v>276</v>
      </c>
      <c r="V87" s="150"/>
      <c r="W87" s="150"/>
      <c r="X87" s="150"/>
      <c r="Y87" s="151"/>
      <c r="Z87" s="143"/>
      <c r="AA87" s="144"/>
      <c r="AB87" s="143"/>
      <c r="AC87" s="145"/>
      <c r="AD87" s="146"/>
      <c r="AE87" s="276" t="s">
        <v>273</v>
      </c>
      <c r="AF87" s="152" t="s">
        <v>122</v>
      </c>
      <c r="AG87" s="147"/>
      <c r="AH87" s="636" t="str">
        <f ca="1">CONCATENATE(" eis geldt vanaf een emissie vanaf ",U87,". ",IF(ParBAL1="4.126","Voor deze eis is maatwerk nodig, omdat deze installatie onder paragraaf 4.126 valt.",""))</f>
        <v xml:space="preserve"> eis geldt vanaf een emissie vanaf 1000 kg/jaar. Voor deze eis is maatwerk nodig, omdat deze installatie onder paragraaf 4.126 valt.</v>
      </c>
      <c r="AI87" s="645"/>
      <c r="AJ87" s="269"/>
      <c r="AK87" s="626"/>
      <c r="AL87" s="147"/>
      <c r="AM87" s="655"/>
      <c r="AN87" s="845"/>
      <c r="AO87" s="149" t="str">
        <f>AO$86</f>
        <v>Meetverplichting volgt uit de storingsfactor (zie art. 5.32)</v>
      </c>
      <c r="AP87" s="149" t="str">
        <f t="shared" ref="AP87:AR87" si="118">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7" s="149" t="str">
        <f t="shared" si="118"/>
        <v>De aangetoonde meetonzekerheid mag niet groter zijn dan 20% van de emissie-eis (tabel 5.36).</v>
      </c>
      <c r="AR87" s="149" t="str">
        <f t="shared" si="118"/>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4.1362). </v>
      </c>
      <c r="AS87" s="149"/>
      <c r="AT87" s="149"/>
      <c r="AU87" s="150"/>
      <c r="AV87" s="150"/>
      <c r="AW87" s="150"/>
      <c r="AX87" s="151"/>
    </row>
    <row r="88" spans="1:58" x14ac:dyDescent="0.2">
      <c r="A88" s="295"/>
      <c r="B88" s="340"/>
      <c r="C88" s="341"/>
      <c r="D88" s="326"/>
      <c r="E88" s="46"/>
      <c r="F88" s="46"/>
      <c r="G88" s="147"/>
      <c r="H88" s="147"/>
      <c r="I88" s="148"/>
      <c r="J88" s="147"/>
      <c r="K88" s="148"/>
      <c r="L88" s="147"/>
      <c r="M88" s="56"/>
      <c r="N88" s="147"/>
      <c r="O88" s="59"/>
      <c r="P88" s="279"/>
      <c r="Q88" s="160"/>
      <c r="R88" s="149"/>
      <c r="S88" s="149"/>
      <c r="T88" s="149"/>
      <c r="U88" s="150"/>
      <c r="V88" s="150"/>
      <c r="W88" s="150"/>
      <c r="X88" s="150"/>
      <c r="Y88" s="151"/>
      <c r="Z88" s="143"/>
      <c r="AA88" s="144"/>
      <c r="AB88" s="143"/>
      <c r="AC88" s="145"/>
      <c r="AD88" s="146"/>
      <c r="AE88" s="276"/>
      <c r="AF88" s="152"/>
      <c r="AG88" s="147"/>
      <c r="AH88" s="636"/>
      <c r="AI88" s="645"/>
      <c r="AJ88" s="269"/>
      <c r="AK88" s="626"/>
      <c r="AL88" s="147"/>
      <c r="AM88" s="655"/>
      <c r="AN88" s="835"/>
      <c r="AO88" s="155"/>
      <c r="AP88" s="155"/>
      <c r="AQ88" s="155"/>
      <c r="AR88" s="155"/>
      <c r="AS88" s="149"/>
      <c r="AT88" s="155"/>
      <c r="AU88" s="157"/>
      <c r="AV88" s="157"/>
      <c r="AW88" s="157"/>
      <c r="AX88" s="151"/>
    </row>
    <row r="89" spans="1:58" x14ac:dyDescent="0.2">
      <c r="A89" s="363" t="s">
        <v>341</v>
      </c>
      <c r="B89" s="364"/>
      <c r="C89" s="365"/>
      <c r="D89" s="366"/>
      <c r="E89" s="367"/>
      <c r="F89" s="367"/>
      <c r="G89" s="368"/>
      <c r="H89" s="368"/>
      <c r="I89" s="369"/>
      <c r="J89" s="368"/>
      <c r="K89" s="369"/>
      <c r="L89" s="368"/>
      <c r="M89" s="370"/>
      <c r="N89" s="368"/>
      <c r="O89" s="371"/>
      <c r="P89" s="372"/>
      <c r="Q89" s="373"/>
      <c r="R89" s="374"/>
      <c r="S89" s="374"/>
      <c r="T89" s="374"/>
      <c r="U89" s="375"/>
      <c r="V89" s="375"/>
      <c r="W89" s="375"/>
      <c r="X89" s="375"/>
      <c r="Y89" s="376"/>
      <c r="Z89" s="377"/>
      <c r="AA89" s="378"/>
      <c r="AB89" s="377"/>
      <c r="AC89" s="379"/>
      <c r="AD89" s="380"/>
      <c r="AE89" s="381"/>
      <c r="AF89" s="382"/>
      <c r="AG89" s="368"/>
      <c r="AH89" s="637"/>
      <c r="AI89" s="646"/>
      <c r="AJ89" s="383"/>
      <c r="AK89" s="627"/>
      <c r="AL89" s="368"/>
      <c r="AM89" s="656"/>
      <c r="AN89" s="836"/>
      <c r="AO89" s="346"/>
      <c r="AP89" s="346"/>
      <c r="AQ89" s="346"/>
      <c r="AR89" s="346"/>
      <c r="AS89" s="346"/>
      <c r="AT89" s="336"/>
      <c r="AU89" s="337"/>
      <c r="AV89" s="337"/>
      <c r="AW89" s="337"/>
      <c r="AX89" s="335"/>
    </row>
    <row r="90" spans="1:58" x14ac:dyDescent="0.2">
      <c r="A90" s="295"/>
      <c r="B90" s="339">
        <f t="shared" ref="B90" ca="1" si="119">IF(AND(SUM(D90:K90,L90:M90)=COUNT(D90:K90,L90:M90),COUNT(D90:K90,L90:M90)&gt;0),ROW(B90),0)</f>
        <v>0</v>
      </c>
      <c r="C90" s="249">
        <f t="shared" ref="C90" ca="1" si="120">IF(AND(SUM(D90:K90,N90:O90)=COUNT(D90:K90,N90:O90),COUNT(D90:K90,N90:O90)&gt;0),ROW(B90),0)</f>
        <v>0</v>
      </c>
      <c r="D90" s="246">
        <f ca="1">IF(AND(OR($Z90="",INGVAN="",$Z90&lt;=INGVAN),OR($Z90="",INGTOT="",$Z90&lt;=INGTOT),OR($AA90="",INGVAN="",$AA90&gt;=INGVAN),OR($AA90="",INGTOT="",$AA90&gt;=INGTOT)),1,0)</f>
        <v>1</v>
      </c>
      <c r="E90" s="247">
        <f t="shared" ref="E90" ca="1" si="121">IF(AND(OR($AB90="",Tdatum&gt;=$AB90,AND(AB90&lt;&gt;"",ISNUMBER(FIND("j",LOWER(AD90))))),OR($AC90="",Tdatum&lt;=$AC90)),1,0)</f>
        <v>1</v>
      </c>
      <c r="F90" s="247">
        <f t="shared" ref="F90" ca="1" si="122">IF(AND(OR($S90="",MW&gt;=$S90),OR($T90="",$T90&gt;MW)),1,0)</f>
        <v>1</v>
      </c>
      <c r="G90" s="147">
        <f ca="1">IF(TSI=3,1,0)</f>
        <v>0</v>
      </c>
      <c r="H90" s="147"/>
      <c r="I90" s="148"/>
      <c r="J90" s="147"/>
      <c r="K90" s="148"/>
      <c r="L90" s="147">
        <f ca="1">IF(TBRAND1&lt;&gt;3,1,0)</f>
        <v>1</v>
      </c>
      <c r="M90" s="56"/>
      <c r="N90" s="148">
        <f ca="1">IF(AND(ABRAND2&gt;0,TBRAND2&lt;&gt;3),1,0)</f>
        <v>0</v>
      </c>
      <c r="O90" s="59"/>
      <c r="P90" s="279" t="s">
        <v>41</v>
      </c>
      <c r="Q90" s="149" t="s">
        <v>532</v>
      </c>
      <c r="R90" s="149" t="s">
        <v>277</v>
      </c>
      <c r="S90" s="149">
        <v>0.1</v>
      </c>
      <c r="T90" s="149"/>
      <c r="U90" s="150" t="s">
        <v>276</v>
      </c>
      <c r="V90" s="150"/>
      <c r="W90" s="150"/>
      <c r="X90" s="150"/>
      <c r="Y90" s="151"/>
      <c r="Z90" s="143"/>
      <c r="AA90" s="144">
        <f>IWTBAL-1</f>
        <v>45291</v>
      </c>
      <c r="AB90" s="143"/>
      <c r="AC90" s="816">
        <f>IWTBAL+4*365</f>
        <v>46752</v>
      </c>
      <c r="AD90" s="146"/>
      <c r="AE90" s="276" t="s">
        <v>273</v>
      </c>
      <c r="AF90" s="152" t="s">
        <v>274</v>
      </c>
      <c r="AG90" s="147"/>
      <c r="AH90" s="636" t="str">
        <f ca="1">CONCATENATE(" eis geldt vanaf een emissie vanaf ",U90,". ",IF(ParBAL1="4.126","Voor deze eis is maatwerk nodig, omdat deze installatie onder paragraaf 4.126 valt.",""))</f>
        <v xml:space="preserve"> eis geldt vanaf een emissie vanaf 1000 kg/jaar. Voor deze eis is maatwerk nodig, omdat deze installatie onder paragraaf 4.126 valt.</v>
      </c>
      <c r="AI90" s="645"/>
      <c r="AJ90" s="269"/>
      <c r="AK90" s="626"/>
      <c r="AL90" s="147"/>
      <c r="AM90" s="655"/>
      <c r="AN90" s="845"/>
      <c r="AO90" s="149" t="str">
        <f>AO$86</f>
        <v>Meetverplichting volgt uit de storingsfactor (zie art. 5.32)</v>
      </c>
      <c r="AP90" s="149" t="str">
        <f t="shared" ref="AP90:AR90" si="123">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90" s="149" t="str">
        <f t="shared" si="123"/>
        <v>De aangetoonde meetonzekerheid mag niet groter zijn dan 20% van de emissie-eis (tabel 5.36).</v>
      </c>
      <c r="AR90" s="149" t="str">
        <f t="shared" si="123"/>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4.1362). </v>
      </c>
      <c r="AS90" s="149"/>
      <c r="AT90" s="149"/>
      <c r="AU90" s="150"/>
      <c r="AV90" s="150"/>
      <c r="AW90" s="150"/>
      <c r="AX90" s="151"/>
    </row>
    <row r="91" spans="1:58" x14ac:dyDescent="0.2">
      <c r="A91" s="584"/>
      <c r="B91" s="585"/>
      <c r="C91" s="586"/>
      <c r="D91" s="608"/>
      <c r="E91" s="589"/>
      <c r="F91" s="589"/>
      <c r="G91" s="589"/>
      <c r="H91" s="589"/>
      <c r="I91" s="590"/>
      <c r="J91" s="589"/>
      <c r="K91" s="590"/>
      <c r="L91" s="589"/>
      <c r="M91" s="590"/>
      <c r="N91" s="590"/>
      <c r="O91" s="590"/>
      <c r="P91" s="593"/>
      <c r="Q91" s="595"/>
      <c r="R91" s="595"/>
      <c r="S91" s="595"/>
      <c r="T91" s="595"/>
      <c r="U91" s="596"/>
      <c r="V91" s="596"/>
      <c r="W91" s="596"/>
      <c r="X91" s="596"/>
      <c r="Y91" s="597"/>
      <c r="Z91" s="598"/>
      <c r="AA91" s="599"/>
      <c r="AB91" s="598"/>
      <c r="AC91" s="600"/>
      <c r="AD91" s="601"/>
      <c r="AE91" s="602"/>
      <c r="AF91" s="603"/>
      <c r="AG91" s="589"/>
      <c r="AH91" s="638"/>
      <c r="AI91" s="647"/>
      <c r="AJ91" s="604"/>
      <c r="AK91" s="628"/>
      <c r="AL91" s="589"/>
      <c r="AM91" s="657"/>
      <c r="AN91" s="846"/>
      <c r="AO91" s="595"/>
      <c r="AP91" s="595"/>
      <c r="AQ91" s="595"/>
      <c r="AR91" s="595"/>
      <c r="AS91" s="595"/>
      <c r="AT91" s="595"/>
      <c r="AU91" s="596"/>
      <c r="AV91" s="596"/>
      <c r="AW91" s="596"/>
      <c r="AX91" s="597"/>
    </row>
    <row r="92" spans="1:58" x14ac:dyDescent="0.2">
      <c r="A92" s="393" t="s">
        <v>290</v>
      </c>
      <c r="B92" s="394"/>
      <c r="C92" s="395"/>
      <c r="D92" s="396"/>
      <c r="E92" s="397"/>
      <c r="F92" s="397"/>
      <c r="G92" s="398"/>
      <c r="H92" s="398"/>
      <c r="I92" s="399"/>
      <c r="J92" s="398"/>
      <c r="K92" s="399"/>
      <c r="L92" s="398"/>
      <c r="M92" s="400"/>
      <c r="N92" s="398"/>
      <c r="O92" s="401"/>
      <c r="P92" s="402"/>
      <c r="Q92" s="403"/>
      <c r="R92" s="404"/>
      <c r="S92" s="404"/>
      <c r="T92" s="404"/>
      <c r="U92" s="405"/>
      <c r="V92" s="405"/>
      <c r="W92" s="405"/>
      <c r="X92" s="405"/>
      <c r="Y92" s="406"/>
      <c r="Z92" s="407"/>
      <c r="AA92" s="408"/>
      <c r="AB92" s="407"/>
      <c r="AC92" s="409"/>
      <c r="AD92" s="410"/>
      <c r="AE92" s="411"/>
      <c r="AF92" s="412"/>
      <c r="AG92" s="398"/>
      <c r="AH92" s="639"/>
      <c r="AI92" s="648"/>
      <c r="AJ92" s="413"/>
      <c r="AK92" s="629"/>
      <c r="AL92" s="398"/>
      <c r="AM92" s="658"/>
      <c r="AN92" s="847"/>
      <c r="AO92" s="330"/>
      <c r="AP92" s="330"/>
      <c r="AQ92" s="330"/>
      <c r="AR92" s="330"/>
      <c r="AS92" s="327"/>
      <c r="AT92" s="330"/>
      <c r="AU92" s="331"/>
      <c r="AV92" s="331"/>
      <c r="AW92" s="331"/>
      <c r="AX92" s="328"/>
    </row>
    <row r="93" spans="1:58" x14ac:dyDescent="0.2">
      <c r="A93" s="334"/>
      <c r="B93" s="340"/>
      <c r="C93" s="341"/>
      <c r="D93" s="338"/>
      <c r="E93" s="46"/>
      <c r="F93" s="46"/>
      <c r="G93" s="147"/>
      <c r="H93" s="147"/>
      <c r="I93" s="148"/>
      <c r="J93" s="147"/>
      <c r="K93" s="148"/>
      <c r="L93" s="147"/>
      <c r="M93" s="56"/>
      <c r="N93" s="148"/>
      <c r="O93" s="56"/>
      <c r="P93" s="279"/>
      <c r="Q93" s="160"/>
      <c r="R93" s="149"/>
      <c r="S93" s="149"/>
      <c r="T93" s="149"/>
      <c r="U93" s="150"/>
      <c r="V93" s="150"/>
      <c r="W93" s="150"/>
      <c r="X93" s="150"/>
      <c r="Y93" s="151"/>
      <c r="Z93" s="143"/>
      <c r="AA93" s="144"/>
      <c r="AB93" s="143"/>
      <c r="AC93" s="145"/>
      <c r="AD93" s="146"/>
      <c r="AE93" s="276"/>
      <c r="AF93" s="152"/>
      <c r="AG93" s="147"/>
      <c r="AH93" s="636"/>
      <c r="AI93" s="645"/>
      <c r="AJ93" s="269"/>
      <c r="AK93" s="626"/>
      <c r="AL93" s="147"/>
      <c r="AM93" s="655"/>
      <c r="AN93" s="835"/>
      <c r="AO93" s="155"/>
      <c r="AP93" s="155"/>
      <c r="AQ93" s="155"/>
      <c r="AR93" s="155"/>
      <c r="AS93" s="149"/>
      <c r="AT93" s="155"/>
      <c r="AU93" s="157"/>
      <c r="AV93" s="157"/>
      <c r="AW93" s="157"/>
      <c r="AX93" s="151"/>
    </row>
    <row r="94" spans="1:58" ht="12" thickBot="1" x14ac:dyDescent="0.25">
      <c r="A94" s="297"/>
      <c r="B94" s="343"/>
      <c r="C94" s="344"/>
      <c r="D94" s="161"/>
      <c r="E94" s="161"/>
      <c r="F94" s="161"/>
      <c r="G94" s="161"/>
      <c r="H94" s="161"/>
      <c r="I94" s="162"/>
      <c r="J94" s="161"/>
      <c r="K94" s="162"/>
      <c r="L94" s="161"/>
      <c r="M94" s="162"/>
      <c r="N94" s="162"/>
      <c r="O94" s="162"/>
      <c r="P94" s="280"/>
      <c r="Q94" s="163"/>
      <c r="R94" s="163"/>
      <c r="S94" s="163"/>
      <c r="T94" s="163"/>
      <c r="U94" s="164"/>
      <c r="V94" s="164"/>
      <c r="W94" s="164"/>
      <c r="X94" s="164"/>
      <c r="Y94" s="165"/>
      <c r="Z94" s="166"/>
      <c r="AA94" s="167"/>
      <c r="AB94" s="166"/>
      <c r="AC94" s="168"/>
      <c r="AD94" s="169"/>
      <c r="AE94" s="278"/>
      <c r="AF94" s="171"/>
      <c r="AG94" s="161"/>
      <c r="AH94" s="640"/>
      <c r="AI94" s="649"/>
      <c r="AJ94" s="270"/>
      <c r="AK94" s="632"/>
      <c r="AL94" s="161"/>
      <c r="AM94" s="659"/>
      <c r="AN94" s="848"/>
      <c r="AO94" s="163"/>
      <c r="AP94" s="163"/>
      <c r="AQ94" s="163"/>
      <c r="AR94" s="163"/>
      <c r="AS94" s="163"/>
      <c r="AT94" s="163"/>
      <c r="AU94" s="164"/>
      <c r="AV94" s="164"/>
      <c r="AW94" s="164"/>
      <c r="AX94" s="165"/>
    </row>
  </sheetData>
  <mergeCells count="6">
    <mergeCell ref="B1:B3"/>
    <mergeCell ref="C1:C3"/>
    <mergeCell ref="P1:Y1"/>
    <mergeCell ref="D1:O1"/>
    <mergeCell ref="AB1:AD1"/>
    <mergeCell ref="Z1:AA1"/>
  </mergeCells>
  <pageMargins left="0.25" right="0.25" top="0.75" bottom="0.75" header="0.3" footer="0.3"/>
  <pageSetup paperSize="9" scale="64"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33"/>
  <sheetViews>
    <sheetView workbookViewId="0">
      <pane xSplit="20" ySplit="6" topLeftCell="Z7" activePane="bottomRight" state="frozen"/>
      <selection pane="topRight" activeCell="U1" sqref="U1"/>
      <selection pane="bottomLeft" activeCell="A7" sqref="A7"/>
      <selection pane="bottomRight" activeCell="G10" sqref="G10"/>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6" width="7.12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CO</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IF($B$5=0,"",IF(INDEX(AK$1:AK$33,$B$5)="","",IF(AND(OR($AI5="",INGVAN="",$AI5&lt;=INGVAN),OR($AI5="",INGTOT="",$AI5&lt;=INGTOT)),1,0)))</f>
        <v/>
      </c>
      <c r="AL1" s="184" t="str">
        <f ca="1">IF($B$5=0,"",IF(INDEX(AK$1:AK$33,$B$5)="","",IF(AND(OR($AJ5="",INGVAN="",$AJ5&gt;=INGVAN),OR($AJ5="",INGTOT="",$AJ5&gt;=INGTOT)),1,0)))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126</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CO</v>
      </c>
      <c r="AG3" s="129" t="s">
        <v>165</v>
      </c>
      <c r="AH3" s="633" t="s">
        <v>356</v>
      </c>
      <c r="AI3" s="642" t="s">
        <v>358</v>
      </c>
      <c r="AJ3" s="282" t="s">
        <v>359</v>
      </c>
      <c r="AK3" s="624" t="s">
        <v>251</v>
      </c>
      <c r="AL3" s="130" t="s">
        <v>183</v>
      </c>
      <c r="AM3" s="652" t="s">
        <v>209</v>
      </c>
      <c r="AN3" s="850" t="s">
        <v>534</v>
      </c>
      <c r="AO3" s="127"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IF(AND(AF5="",AF6=""),"",CONCATENATE(ROUND((100-IF(AF6="",0,ABRAND2))/100*IF(AF5="",0,AF5*(21-AG4)/(21-AG5))+IF(AF5="",100,ABRAND2)/100*IF(AF6="",0,AF6*(21-AG4)/(21-AG6)),0)," ",IF(A2="","",A2)," bij ",AG4," vol% O₂"))</f>
        <v/>
      </c>
      <c r="AG4" s="208">
        <f ca="1">NOx!AG4</f>
        <v>3</v>
      </c>
      <c r="AH4" s="634" t="str">
        <f ca="1">IF($C$6=0,AH5,IF($B$5=0,AH6,IF($B$5&lt;$C$6,AH5,AH6)))</f>
        <v/>
      </c>
      <c r="AI4" s="660"/>
      <c r="AJ4" s="208"/>
      <c r="AK4" s="697"/>
      <c r="AL4" s="208"/>
      <c r="AM4" s="634" t="str">
        <f ca="1">IF($C$6=0,AM5,IF($B$5=0,AM6,IF($B$5&lt;$C$6,AM5,AM6)))</f>
        <v/>
      </c>
      <c r="AN4" s="830"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49" t="str">
        <f t="shared" ref="AO4:AS4" ca="1" si="7">IF($C$6=0,AO5,IF($B$5=0,AO6,IF($B$5&lt;$C$6,AO5,AO6)))</f>
        <v/>
      </c>
      <c r="AP4" s="210" t="str">
        <f t="shared" ca="1" si="7"/>
        <v/>
      </c>
      <c r="AQ4" s="210" t="str">
        <f t="shared" ca="1" si="7"/>
        <v/>
      </c>
      <c r="AR4" s="211" t="str">
        <f t="shared" ca="1" si="7"/>
        <v/>
      </c>
      <c r="AS4" s="210" t="str">
        <f t="shared" ca="1" si="7"/>
        <v/>
      </c>
      <c r="AT4" s="210" t="str">
        <f t="shared" ref="AT4" ca="1" si="8">IF($C$6=0,AT5,IF($B$5=0,AT6,IF($B$5&lt;$C$6,AT5,AT6)))</f>
        <v/>
      </c>
      <c r="AU4" s="212"/>
      <c r="AV4" s="212"/>
      <c r="AW4" s="212"/>
      <c r="AX4" s="213" t="str">
        <f ca="1">AW2</f>
        <v/>
      </c>
    </row>
    <row r="5" spans="1:50" x14ac:dyDescent="0.2">
      <c r="A5" s="181" t="s">
        <v>29</v>
      </c>
      <c r="B5" s="192">
        <f ca="1">IF(Geldig,MAX(B8:B33),0)</f>
        <v>0</v>
      </c>
      <c r="C5" s="195"/>
      <c r="D5" s="192" t="str">
        <f t="shared" ref="D5:AF5" ca="1" si="9">IF($B$5=0,"",IF(INDEX(D$1:D$33,$B$5)="","",INDEX(D$1:D$33,$B$5)))</f>
        <v/>
      </c>
      <c r="E5" s="193" t="str">
        <f t="shared" ca="1" si="9"/>
        <v/>
      </c>
      <c r="F5" s="193" t="str">
        <f t="shared" ca="1" si="9"/>
        <v/>
      </c>
      <c r="G5" s="193" t="str">
        <f t="shared" ca="1" si="9"/>
        <v/>
      </c>
      <c r="H5" s="193" t="str">
        <f t="shared" ca="1" si="9"/>
        <v/>
      </c>
      <c r="I5" s="194" t="str">
        <f t="shared" ca="1" si="9"/>
        <v/>
      </c>
      <c r="J5" s="193" t="str">
        <f t="shared" ca="1" si="9"/>
        <v/>
      </c>
      <c r="K5" s="194" t="str">
        <f t="shared" ca="1" si="9"/>
        <v/>
      </c>
      <c r="L5" s="193" t="str">
        <f t="shared" ca="1" si="9"/>
        <v/>
      </c>
      <c r="M5" s="194" t="str">
        <f t="shared" ca="1" si="9"/>
        <v/>
      </c>
      <c r="N5" s="194" t="str">
        <f t="shared" ca="1" si="9"/>
        <v/>
      </c>
      <c r="O5" s="195" t="str">
        <f t="shared" ca="1" si="9"/>
        <v/>
      </c>
      <c r="P5" s="187" t="str">
        <f t="shared" ca="1" si="9"/>
        <v/>
      </c>
      <c r="Q5" s="214" t="str">
        <f t="shared" ca="1" si="9"/>
        <v/>
      </c>
      <c r="R5" s="214" t="str">
        <f t="shared" ca="1" si="9"/>
        <v/>
      </c>
      <c r="S5" s="214" t="str">
        <f t="shared" ca="1" si="9"/>
        <v/>
      </c>
      <c r="T5" s="214" t="str">
        <f t="shared" ca="1" si="9"/>
        <v/>
      </c>
      <c r="U5" s="214" t="str">
        <f t="shared" ca="1" si="9"/>
        <v/>
      </c>
      <c r="V5" s="215" t="str">
        <f t="shared" ca="1" si="9"/>
        <v/>
      </c>
      <c r="W5" s="215" t="str">
        <f t="shared" ca="1" si="9"/>
        <v/>
      </c>
      <c r="X5" s="215" t="str">
        <f t="shared" ca="1" si="9"/>
        <v/>
      </c>
      <c r="Y5" s="216" t="str">
        <f t="shared" ca="1" si="9"/>
        <v/>
      </c>
      <c r="Z5" s="217" t="str">
        <f t="shared" ca="1" si="9"/>
        <v/>
      </c>
      <c r="AA5" s="218" t="str">
        <f t="shared" ca="1" si="9"/>
        <v/>
      </c>
      <c r="AB5" s="217" t="str">
        <f t="shared" ca="1" si="9"/>
        <v/>
      </c>
      <c r="AC5" s="219" t="str">
        <f t="shared" ca="1" si="9"/>
        <v/>
      </c>
      <c r="AD5" s="220" t="str">
        <f t="shared" ca="1" si="9"/>
        <v/>
      </c>
      <c r="AE5" s="221" t="str">
        <f t="shared" ca="1" si="9"/>
        <v/>
      </c>
      <c r="AF5" s="222" t="str">
        <f t="shared" ca="1" si="9"/>
        <v/>
      </c>
      <c r="AG5" s="223" t="str">
        <f ca="1">IF($B$5=0,"",IF(INDEX(AG$1:AG$33,$B$5)="",O2BRAND1,INDEX(AG$1:AG$33,$B$5)))</f>
        <v/>
      </c>
      <c r="AH5" s="225" t="str">
        <f ca="1">IF($B$5=0,"",IF(INDEX(AH$1:AH$33,$B$5)="","",INDEX(AH$1:AH$33,$B$5)))</f>
        <v/>
      </c>
      <c r="AI5" s="661" t="str">
        <f ca="1">IF($B$5=0,"",IF(INDEX(AI$1:AI$33,$B$5)="","",INDEX(AI$1:AI$33,$B$5)))</f>
        <v/>
      </c>
      <c r="AJ5" s="218" t="str">
        <f ca="1">IF($B$5=0,"",IF(INDEX(AJ$1:AJ$33,$B$5)="","",INDEX(AJ$1:AJ$33,$B$5)))</f>
        <v/>
      </c>
      <c r="AK5" s="651" t="str">
        <f ca="1">IF($B$5=0,"",IF(INDEX(AK$1:AK$33,$B$5)="","",IF(AND(OR($AI5="",INGVAN="",$AI5&lt;=INGVAN),OR($AI5="",INGTOT="",$AI5&lt;=INGTOT),OR($AJ5="",INGVAN="",$AJ5&gt;=INGVAN),OR($AJ5="",INGTOT="",$AJ5&gt;=INGTOT)),INDEX(AK$1:AK$33,$B$5),"")))</f>
        <v/>
      </c>
      <c r="AL5" s="223" t="str">
        <f ca="1">IF($B$5=0,"",IF(INDEX(AL$1:AL$33,$B$5)="","",IF(AND(OR($AI5="",INGVAN="",$AI5&lt;=INGVAN),OR($AI5="",INGTOT="",$AI5&lt;=INGTOT),OR($AJ5="",INGVAN="",$AJ5&gt;=INGVAN),OR($AJ5="",INGTOT="",$AJ5&gt;=INGTOT)),INDEX(AL$1:AL$33,$B$5),"")))</f>
        <v/>
      </c>
      <c r="AM5" s="224" t="str">
        <f ca="1">IF($B$5=0,"",IF(INDEX(AM$1:AM$33,$B$5)="","",IF(AND(OR($AI5="",INGVAN="",$AI5&lt;=INGVAN),OR($AI5="",INGTOT="",$AI5&lt;=INGTOT),OR($AJ5="",INGVAN="",$AJ5&gt;=INGVAN),OR($AJ5="",INGTOT="",$AJ5&gt;=INGTOT)),INDEX(AM$1:AM$33,$B$5),"")))</f>
        <v/>
      </c>
      <c r="AN5" s="831"/>
      <c r="AO5" s="227" t="str">
        <f t="shared" ref="AO5:AW5" ca="1" si="10">IF($B$5=0,"",IF(INDEX(AO$1:AO$33,$B$5)="","",INDEX(AO$1:AO$33,$B$5)))</f>
        <v/>
      </c>
      <c r="AP5" s="227" t="str">
        <f t="shared" ca="1" si="10"/>
        <v/>
      </c>
      <c r="AQ5" s="227" t="str">
        <f t="shared" ca="1" si="10"/>
        <v/>
      </c>
      <c r="AR5" s="227" t="str">
        <f t="shared" ca="1" si="10"/>
        <v/>
      </c>
      <c r="AS5" s="227" t="str">
        <f t="shared" ca="1" si="10"/>
        <v/>
      </c>
      <c r="AT5" s="227" t="str">
        <f t="shared" ca="1" si="10"/>
        <v/>
      </c>
      <c r="AU5" s="227" t="str">
        <f t="shared" ca="1" si="10"/>
        <v/>
      </c>
      <c r="AV5" s="227" t="str">
        <f t="shared" ca="1" si="10"/>
        <v/>
      </c>
      <c r="AW5" s="227" t="str">
        <f t="shared" ca="1" si="10"/>
        <v/>
      </c>
      <c r="AX5" s="228"/>
    </row>
    <row r="6" spans="1:50" ht="12" thickBot="1" x14ac:dyDescent="0.25">
      <c r="A6" s="182" t="s">
        <v>30</v>
      </c>
      <c r="B6" s="190"/>
      <c r="C6" s="191">
        <f ca="1">MAX(C8:C33)</f>
        <v>0</v>
      </c>
      <c r="D6" s="196" t="str">
        <f t="shared" ref="D6:AF6" ca="1" si="11">IF($C$6=0,"",IF(INDEX(D$1:D$33,$C$6)="","",INDEX(D$1:D$33,$C$6)))</f>
        <v/>
      </c>
      <c r="E6" s="196" t="str">
        <f t="shared" ca="1" si="11"/>
        <v/>
      </c>
      <c r="F6" s="196" t="str">
        <f t="shared" ca="1" si="11"/>
        <v/>
      </c>
      <c r="G6" s="196" t="str">
        <f t="shared" ca="1" si="11"/>
        <v/>
      </c>
      <c r="H6" s="196" t="str">
        <f t="shared" ca="1" si="11"/>
        <v/>
      </c>
      <c r="I6" s="197" t="str">
        <f t="shared" ca="1" si="11"/>
        <v/>
      </c>
      <c r="J6" s="196" t="str">
        <f t="shared" ca="1" si="11"/>
        <v/>
      </c>
      <c r="K6" s="197" t="str">
        <f t="shared" ca="1" si="11"/>
        <v/>
      </c>
      <c r="L6" s="196" t="str">
        <f t="shared" ca="1" si="11"/>
        <v/>
      </c>
      <c r="M6" s="197" t="str">
        <f t="shared" ca="1" si="11"/>
        <v/>
      </c>
      <c r="N6" s="197" t="str">
        <f t="shared" ca="1" si="11"/>
        <v/>
      </c>
      <c r="O6" s="197" t="str">
        <f t="shared" ca="1" si="11"/>
        <v/>
      </c>
      <c r="P6" s="229" t="str">
        <f t="shared" ca="1" si="11"/>
        <v/>
      </c>
      <c r="Q6" s="230" t="str">
        <f t="shared" ca="1" si="11"/>
        <v/>
      </c>
      <c r="R6" s="230" t="str">
        <f t="shared" ca="1" si="11"/>
        <v/>
      </c>
      <c r="S6" s="230" t="str">
        <f t="shared" ca="1" si="11"/>
        <v/>
      </c>
      <c r="T6" s="230" t="str">
        <f t="shared" ca="1" si="11"/>
        <v/>
      </c>
      <c r="U6" s="230" t="str">
        <f t="shared" ca="1" si="11"/>
        <v/>
      </c>
      <c r="V6" s="231" t="str">
        <f t="shared" ca="1" si="11"/>
        <v/>
      </c>
      <c r="W6" s="231" t="str">
        <f t="shared" ca="1" si="11"/>
        <v/>
      </c>
      <c r="X6" s="231" t="str">
        <f t="shared" ca="1" si="11"/>
        <v/>
      </c>
      <c r="Y6" s="232" t="str">
        <f t="shared" ca="1" si="11"/>
        <v/>
      </c>
      <c r="Z6" s="233" t="str">
        <f t="shared" ca="1" si="11"/>
        <v/>
      </c>
      <c r="AA6" s="234" t="str">
        <f t="shared" ca="1" si="11"/>
        <v/>
      </c>
      <c r="AB6" s="233" t="str">
        <f t="shared" ca="1" si="11"/>
        <v/>
      </c>
      <c r="AC6" s="235" t="str">
        <f t="shared" ca="1" si="11"/>
        <v/>
      </c>
      <c r="AD6" s="236" t="str">
        <f t="shared" ca="1" si="11"/>
        <v/>
      </c>
      <c r="AE6" s="237" t="str">
        <f t="shared" ca="1" si="11"/>
        <v/>
      </c>
      <c r="AF6" s="196" t="str">
        <f t="shared" ca="1" si="11"/>
        <v/>
      </c>
      <c r="AG6" s="238" t="str">
        <f ca="1">IF($C$6=0,"",IF(INDEX(AG$1:AG$33,$C$6)="",O2BRAND2,INDEX(AG$1:AG$33,$C$6)))</f>
        <v/>
      </c>
      <c r="AH6" s="239" t="str">
        <f ca="1">IF($C$6=0,"",IF(INDEX(AH$1:AH$33,$C$6)="","",INDEX(AH$1:AH$33,$C$6)))</f>
        <v/>
      </c>
      <c r="AI6" s="662" t="str">
        <f ca="1">IF($C$6=0,"",IF(INDEX(AI$1:AI$33,$C$6)="","",INDEX(AI$1:AI$33,$C$6)))</f>
        <v/>
      </c>
      <c r="AJ6" s="234" t="str">
        <f ca="1">IF($C$6=0,"",IF(INDEX(AJ$1:AJ$33,$C$6)="","",INDEX(AJ$1:AJ$33,$C$6)))</f>
        <v/>
      </c>
      <c r="AK6" s="672" t="str">
        <f ca="1">IF($C$6=0,"",IF(INDEX(AK$1:AK$33,$C$6)="","",IF(AND(OR($AI6="",INGVAN="",$AI6&lt;=INGVAN),OR($AI6="",INGTOT="",$AI6&lt;=INGTOT),OR($AJ6="",INGVAN="",$AJ6&gt;=INGVAN),OR($AJ6="",INGTOT="",$AJ6&gt;=INGTOT)),INDEX(AK$1:AK$33,$C$6),"")))</f>
        <v/>
      </c>
      <c r="AL6" s="238" t="str">
        <f ca="1">IF($C$6=0,"",IF(INDEX(AL$1:AL$33,$C$6)="","",IF(AND(OR($AI6="",INGVAN="",$AI6&lt;=INGVAN),OR($AI6="",INGTOT="",$AI6&lt;=INGTOT),OR($AJ6="",INGVAN="",$AJ6&gt;=INGVAN),OR($AJ6="",INGTOT="",$AJ6&gt;=INGTOT)),INDEX(AL$1:AL$33,$C$6),"")))</f>
        <v/>
      </c>
      <c r="AM6" s="673" t="str">
        <f ca="1">IF($C$6=0,"",IF(INDEX(AM$1:AM$33,$C$6)="","",IF(AND(OR($AI6="",INGVAN="",$AI6&lt;=INGVAN),OR($AI6="",INGTOT="",$AI6&lt;=INGTOT),OR($AJ6="",INGVAN="",$AJ6&gt;=INGVAN),OR($AJ6="",INGTOT="",$AJ6&gt;=INGTOT)),INDEX(AM$1:AM$33,$C$6),"")))</f>
        <v/>
      </c>
      <c r="AN6" s="832"/>
      <c r="AO6" s="241" t="str">
        <f t="shared" ref="AO6:AW6" ca="1" si="12">IF($C$6=0,"",IF(INDEX(AO$1:AO$33,$C$6)="","",INDEX(AO$1:AO$33,$C$6)))</f>
        <v/>
      </c>
      <c r="AP6" s="241" t="str">
        <f t="shared" ca="1" si="12"/>
        <v/>
      </c>
      <c r="AQ6" s="241" t="str">
        <f t="shared" ca="1" si="12"/>
        <v/>
      </c>
      <c r="AR6" s="241" t="str">
        <f t="shared" ca="1" si="12"/>
        <v/>
      </c>
      <c r="AS6" s="241" t="str">
        <f t="shared" ca="1" si="12"/>
        <v/>
      </c>
      <c r="AT6" s="241" t="str">
        <f t="shared" ca="1" si="12"/>
        <v/>
      </c>
      <c r="AU6" s="241" t="str">
        <f t="shared" ca="1" si="12"/>
        <v/>
      </c>
      <c r="AV6" s="241" t="str">
        <f t="shared" ca="1" si="12"/>
        <v/>
      </c>
      <c r="AW6" s="241" t="str">
        <f t="shared" ca="1" si="12"/>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833"/>
      <c r="AO7" s="323" t="s">
        <v>243</v>
      </c>
      <c r="AP7" s="323" t="s">
        <v>363</v>
      </c>
      <c r="AQ7" s="323" t="s">
        <v>449</v>
      </c>
      <c r="AR7" s="323"/>
      <c r="AS7" s="323"/>
      <c r="AT7" s="320"/>
      <c r="AU7" s="321"/>
      <c r="AV7" s="321"/>
      <c r="AW7" s="321"/>
      <c r="AX7" s="319"/>
    </row>
    <row r="8" spans="1:50" x14ac:dyDescent="0.2">
      <c r="A8" s="295"/>
      <c r="B8" s="339">
        <f t="shared" ref="B8:B9" ca="1" si="13">IF(AND(SUM(D8:K8,L8:M8)=COUNT(D8:K8,L8:M8),COUNT(D8:K8,L8:M8)&gt;0),ROW(B8),0)</f>
        <v>0</v>
      </c>
      <c r="C8" s="249">
        <f t="shared" ref="C8:C9" ca="1" si="14">IF(AND(SUM(D8:K8,N8:O8)=COUNT(D8:K8,N8:O8),COUNT(D8:K8,N8:O8)&gt;0),ROW(B8),0)</f>
        <v>0</v>
      </c>
      <c r="D8" s="246">
        <f ca="1">IF(AND(OR($Z8="",INGVAN="",$Z8&lt;=INGVAN),OR($Z8="",INGTOT="",$Z8&lt;=INGTOT),OR($AA8="",INGVAN="",$AA8&gt;=INGVAN),OR($AA8="",INGTOT="",$AA8&gt;=INGTOT)),1,0)</f>
        <v>1</v>
      </c>
      <c r="E8" s="247">
        <f t="shared" ref="E8:E15" ca="1" si="15">IF(AND(OR($AB8="",Tdatum&gt;=$AB8,AND(AB8&lt;&gt;"",ISNUMBER(FIND("j",LOWER(AD8))))),OR($AC8="",Tdatum&lt;=$AC8)),1,0)</f>
        <v>1</v>
      </c>
      <c r="F8" s="247">
        <f t="shared" ref="F8:F15" ca="1" si="16">IF(AND(OR($S8="",MW&gt;=$S8),OR($T8="",$T8&gt;MW)),1,0)</f>
        <v>1</v>
      </c>
      <c r="G8" s="147">
        <f ca="1">IF(AND(Afvalvernietiging,SI&lt;&gt;17),1,0)</f>
        <v>0</v>
      </c>
      <c r="H8" s="147"/>
      <c r="I8" s="147"/>
      <c r="J8" s="147"/>
      <c r="K8" s="148"/>
      <c r="L8" s="147">
        <f ca="1">IF(OR(TBRAND1=3,AND(G8=1,N8=0)),1,0)</f>
        <v>0</v>
      </c>
      <c r="M8" s="248">
        <f t="shared" ref="M8" ca="1" si="17">IF(AND(ParBAL1&lt;&gt;"",ParBAL1=P8),1,0)</f>
        <v>0</v>
      </c>
      <c r="N8" s="147">
        <f ca="1">IF(TBRAND2=3,1,0)</f>
        <v>0</v>
      </c>
      <c r="O8" s="249">
        <f t="shared" ref="O8" ca="1" si="18">IF(AND(ParBAL2&lt;&gt;"",ParBAL2=P8),1,0)</f>
        <v>0</v>
      </c>
      <c r="P8" s="279" t="s">
        <v>39</v>
      </c>
      <c r="Q8" s="149" t="s">
        <v>541</v>
      </c>
      <c r="R8" s="149" t="s">
        <v>265</v>
      </c>
      <c r="S8" s="149"/>
      <c r="T8" s="149"/>
      <c r="U8" s="150"/>
      <c r="V8" s="150"/>
      <c r="W8" s="150"/>
      <c r="X8" s="150"/>
      <c r="Y8" s="151"/>
      <c r="Z8" s="143"/>
      <c r="AA8" s="144"/>
      <c r="AB8" s="143"/>
      <c r="AC8" s="145"/>
      <c r="AD8" s="146"/>
      <c r="AE8" s="276" t="s">
        <v>121</v>
      </c>
      <c r="AF8" s="152" t="s">
        <v>366</v>
      </c>
      <c r="AG8" s="147"/>
      <c r="AH8" s="636" t="s">
        <v>447</v>
      </c>
      <c r="AI8" s="645"/>
      <c r="AJ8" s="269"/>
      <c r="AK8" s="626" t="s">
        <v>123</v>
      </c>
      <c r="AL8" s="147">
        <v>50</v>
      </c>
      <c r="AM8" s="655" t="s">
        <v>448</v>
      </c>
      <c r="AN8" s="834"/>
      <c r="AO8" s="325" t="str">
        <f>AO$7</f>
        <v xml:space="preserve">Er geldt een continue meetverplichting (art 4.79). </v>
      </c>
      <c r="AP8" s="325" t="str">
        <f t="shared" ref="AP8:AQ9" si="19">AP$7</f>
        <v xml:space="preserve">De kwaliteitsborging van het continue meetsysteem vindt plaats volgen NEN-EN 14181 (art. 4.78). </v>
      </c>
      <c r="AQ8" s="325" t="str">
        <f t="shared" si="19"/>
        <v>De aangetoonde meetonzekerheid mag niet groter zijn dan 10% van de emissie-eis of 5 mg/Nm3 (art. 4.88).</v>
      </c>
      <c r="AR8" s="325" t="s">
        <v>450</v>
      </c>
      <c r="AS8" s="325"/>
      <c r="AT8" s="149"/>
      <c r="AU8" s="150"/>
      <c r="AV8" s="150"/>
      <c r="AW8" s="150"/>
      <c r="AX8" s="151"/>
    </row>
    <row r="9" spans="1:50" x14ac:dyDescent="0.2">
      <c r="A9" s="295"/>
      <c r="B9" s="339">
        <f t="shared" ca="1" si="13"/>
        <v>0</v>
      </c>
      <c r="C9" s="249">
        <f t="shared" ca="1" si="14"/>
        <v>0</v>
      </c>
      <c r="D9" s="246">
        <f ca="1">IF(AND(OR($Z9="",INGVAN="",$Z9&lt;=INGVAN),OR($Z9="",INGTOT="",$Z9&lt;=INGTOT),OR($AA9="",INGVAN="",$AA9&gt;=INGVAN),OR($AA9="",INGTOT="",$AA9&gt;=INGTOT)),1,0)</f>
        <v>1</v>
      </c>
      <c r="E9" s="247">
        <f t="shared" ca="1" si="15"/>
        <v>1</v>
      </c>
      <c r="F9" s="247">
        <f t="shared" ca="1" si="16"/>
        <v>1</v>
      </c>
      <c r="G9" s="147">
        <f ca="1">IF(AND(EnergieUitAfval,SI&lt;&gt;17),1,0)</f>
        <v>0</v>
      </c>
      <c r="H9" s="147"/>
      <c r="I9" s="147"/>
      <c r="J9" s="147"/>
      <c r="K9" s="148"/>
      <c r="L9" s="147">
        <f ca="1">IF(TBRAND1=3,1,0)</f>
        <v>0</v>
      </c>
      <c r="M9" s="248">
        <f t="shared" ref="M9:M15" ca="1" si="20">IF(AND(ParBAL1&lt;&gt;"",ParBAL1=P9),1,0)</f>
        <v>0</v>
      </c>
      <c r="N9" s="147">
        <f ca="1">IF(TBRAND2=3,1,0)</f>
        <v>0</v>
      </c>
      <c r="O9" s="249">
        <f t="shared" ref="O9:O15" ca="1" si="21">IF(AND(ParBAL2&lt;&gt;"",ParBAL2=P9),1,0)</f>
        <v>0</v>
      </c>
      <c r="P9" s="279" t="s">
        <v>39</v>
      </c>
      <c r="Q9" s="149" t="s">
        <v>542</v>
      </c>
      <c r="R9" s="149" t="s">
        <v>46</v>
      </c>
      <c r="S9" s="149"/>
      <c r="T9" s="149"/>
      <c r="U9" s="150"/>
      <c r="V9" s="150"/>
      <c r="W9" s="150"/>
      <c r="X9" s="150"/>
      <c r="Y9" s="151"/>
      <c r="Z9" s="143"/>
      <c r="AA9" s="144"/>
      <c r="AB9" s="143"/>
      <c r="AC9" s="145"/>
      <c r="AD9" s="146"/>
      <c r="AE9" s="276" t="s">
        <v>121</v>
      </c>
      <c r="AF9" s="152" t="s">
        <v>366</v>
      </c>
      <c r="AG9" s="147"/>
      <c r="AH9" s="636"/>
      <c r="AI9" s="645"/>
      <c r="AJ9" s="269"/>
      <c r="AK9" s="626" t="s">
        <v>123</v>
      </c>
      <c r="AL9" s="147">
        <v>50</v>
      </c>
      <c r="AM9" s="655" t="s">
        <v>448</v>
      </c>
      <c r="AN9" s="834"/>
      <c r="AO9" s="325" t="str">
        <f t="shared" ref="AO9" si="22">AO$7</f>
        <v xml:space="preserve">Er geldt een continue meetverplichting (art 4.79). </v>
      </c>
      <c r="AP9" s="325" t="str">
        <f t="shared" si="19"/>
        <v xml:space="preserve">De kwaliteitsborging van het continue meetsysteem vindt plaats volgen NEN-EN 14181 (art. 4.78). </v>
      </c>
      <c r="AQ9" s="325" t="str">
        <f t="shared" si="19"/>
        <v>De aangetoonde meetonzekerheid mag niet groter zijn dan 10% van de emissie-eis of 5 mg/Nm3 (art. 4.88).</v>
      </c>
      <c r="AR9" s="325" t="s">
        <v>451</v>
      </c>
      <c r="AS9" s="325"/>
      <c r="AT9" s="155"/>
      <c r="AU9" s="157"/>
      <c r="AV9" s="157"/>
      <c r="AW9" s="157"/>
      <c r="AX9" s="158"/>
    </row>
    <row r="10" spans="1:50" x14ac:dyDescent="0.2">
      <c r="A10" s="295"/>
      <c r="B10" s="340"/>
      <c r="C10" s="341"/>
      <c r="D10" s="326"/>
      <c r="E10" s="46"/>
      <c r="F10" s="46"/>
      <c r="G10" s="147"/>
      <c r="H10" s="147"/>
      <c r="I10" s="148"/>
      <c r="J10" s="147"/>
      <c r="K10" s="148"/>
      <c r="L10" s="147"/>
      <c r="M10" s="56"/>
      <c r="N10" s="147"/>
      <c r="O10" s="59"/>
      <c r="P10" s="279"/>
      <c r="Q10" s="160"/>
      <c r="R10" s="149"/>
      <c r="S10" s="149"/>
      <c r="T10" s="149"/>
      <c r="U10" s="150"/>
      <c r="V10" s="150"/>
      <c r="W10" s="150"/>
      <c r="X10" s="150"/>
      <c r="Y10" s="151"/>
      <c r="Z10" s="143"/>
      <c r="AA10" s="144"/>
      <c r="AB10" s="143"/>
      <c r="AC10" s="145"/>
      <c r="AD10" s="146"/>
      <c r="AE10" s="276"/>
      <c r="AF10" s="152"/>
      <c r="AG10" s="147"/>
      <c r="AH10" s="636"/>
      <c r="AI10" s="645"/>
      <c r="AJ10" s="269"/>
      <c r="AK10" s="626"/>
      <c r="AL10" s="147"/>
      <c r="AM10" s="655"/>
      <c r="AN10" s="835"/>
      <c r="AO10" s="155"/>
      <c r="AP10" s="155"/>
      <c r="AQ10" s="155"/>
      <c r="AR10" s="155"/>
      <c r="AS10" s="149"/>
      <c r="AT10" s="155"/>
      <c r="AU10" s="157"/>
      <c r="AV10" s="157"/>
      <c r="AW10" s="157"/>
      <c r="AX10" s="151"/>
    </row>
    <row r="11" spans="1:50" x14ac:dyDescent="0.2">
      <c r="A11" s="363" t="s">
        <v>337</v>
      </c>
      <c r="B11" s="364"/>
      <c r="C11" s="365"/>
      <c r="D11" s="366"/>
      <c r="E11" s="367"/>
      <c r="F11" s="367"/>
      <c r="G11" s="368"/>
      <c r="H11" s="368"/>
      <c r="I11" s="369"/>
      <c r="J11" s="368"/>
      <c r="K11" s="369"/>
      <c r="L11" s="368"/>
      <c r="M11" s="370"/>
      <c r="N11" s="368"/>
      <c r="O11" s="371"/>
      <c r="P11" s="372"/>
      <c r="Q11" s="373"/>
      <c r="R11" s="374"/>
      <c r="S11" s="374"/>
      <c r="T11" s="374"/>
      <c r="U11" s="375"/>
      <c r="V11" s="375"/>
      <c r="W11" s="375"/>
      <c r="X11" s="375"/>
      <c r="Y11" s="376"/>
      <c r="Z11" s="377"/>
      <c r="AA11" s="378"/>
      <c r="AB11" s="377"/>
      <c r="AC11" s="379"/>
      <c r="AD11" s="380"/>
      <c r="AE11" s="381"/>
      <c r="AF11" s="382"/>
      <c r="AG11" s="368"/>
      <c r="AH11" s="637"/>
      <c r="AI11" s="646"/>
      <c r="AJ11" s="383"/>
      <c r="AK11" s="627"/>
      <c r="AL11" s="368"/>
      <c r="AM11" s="656"/>
      <c r="AN11" s="836"/>
      <c r="AO11" s="346" t="s">
        <v>243</v>
      </c>
      <c r="AP11" s="346" t="s">
        <v>244</v>
      </c>
      <c r="AQ11" s="346" t="s">
        <v>132</v>
      </c>
      <c r="AR11" s="346" t="s">
        <v>192</v>
      </c>
      <c r="AS11" s="346" t="str">
        <f ca="1">CONCATENATE(IF(MW&lt;20,"Vanaf 20 MW ","Er "),"geldt naast de vermelde emissie-eis ook een maandgemiddelde eis van 70 mg/Nm3 (art. 4.73 2e lid).")</f>
        <v>Vanaf 20 MW geldt naast de vermelde emissie-eis ook een maandgemiddelde eis van 70 mg/Nm3 (art. 4.73 2e lid).</v>
      </c>
      <c r="AT11" s="336"/>
      <c r="AU11" s="337"/>
      <c r="AV11" s="337"/>
      <c r="AW11" s="337"/>
      <c r="AX11" s="335"/>
    </row>
    <row r="12" spans="1:50" x14ac:dyDescent="0.2">
      <c r="A12" s="584"/>
      <c r="B12" s="585"/>
      <c r="C12" s="586"/>
      <c r="D12" s="587"/>
      <c r="E12" s="588"/>
      <c r="F12" s="588"/>
      <c r="G12" s="589"/>
      <c r="H12" s="589"/>
      <c r="I12" s="590"/>
      <c r="J12" s="589"/>
      <c r="K12" s="590"/>
      <c r="L12" s="589"/>
      <c r="M12" s="591"/>
      <c r="N12" s="589"/>
      <c r="O12" s="592"/>
      <c r="P12" s="593"/>
      <c r="Q12" s="594"/>
      <c r="R12" s="595"/>
      <c r="S12" s="595"/>
      <c r="T12" s="595"/>
      <c r="U12" s="596"/>
      <c r="V12" s="596"/>
      <c r="W12" s="596"/>
      <c r="X12" s="596"/>
      <c r="Y12" s="597"/>
      <c r="Z12" s="598"/>
      <c r="AA12" s="599"/>
      <c r="AB12" s="598"/>
      <c r="AC12" s="600"/>
      <c r="AD12" s="601"/>
      <c r="AE12" s="602"/>
      <c r="AF12" s="603"/>
      <c r="AG12" s="589"/>
      <c r="AH12" s="638"/>
      <c r="AI12" s="647"/>
      <c r="AJ12" s="604"/>
      <c r="AK12" s="628"/>
      <c r="AL12" s="589"/>
      <c r="AM12" s="657"/>
      <c r="AN12" s="837"/>
      <c r="AO12" s="606"/>
      <c r="AP12" s="606"/>
      <c r="AQ12" s="606"/>
      <c r="AR12" s="606"/>
      <c r="AS12" s="595"/>
      <c r="AT12" s="606"/>
      <c r="AU12" s="607"/>
      <c r="AV12" s="607"/>
      <c r="AW12" s="607"/>
      <c r="AX12" s="597"/>
    </row>
    <row r="13" spans="1:50" x14ac:dyDescent="0.2">
      <c r="A13" s="393" t="s">
        <v>294</v>
      </c>
      <c r="B13" s="394"/>
      <c r="C13" s="395"/>
      <c r="D13" s="396"/>
      <c r="E13" s="397"/>
      <c r="F13" s="397"/>
      <c r="G13" s="398"/>
      <c r="H13" s="398"/>
      <c r="I13" s="399"/>
      <c r="J13" s="398"/>
      <c r="K13" s="399"/>
      <c r="L13" s="398"/>
      <c r="M13" s="400"/>
      <c r="N13" s="398"/>
      <c r="O13" s="401"/>
      <c r="P13" s="402"/>
      <c r="Q13" s="403"/>
      <c r="R13" s="404"/>
      <c r="S13" s="404"/>
      <c r="T13" s="404"/>
      <c r="U13" s="405"/>
      <c r="V13" s="405"/>
      <c r="W13" s="405"/>
      <c r="X13" s="405"/>
      <c r="Y13" s="406"/>
      <c r="Z13" s="407"/>
      <c r="AA13" s="408"/>
      <c r="AB13" s="407"/>
      <c r="AC13" s="409"/>
      <c r="AD13" s="410"/>
      <c r="AE13" s="411"/>
      <c r="AF13" s="412"/>
      <c r="AG13" s="398"/>
      <c r="AH13" s="639"/>
      <c r="AI13" s="648"/>
      <c r="AJ13" s="413"/>
      <c r="AK13" s="629"/>
      <c r="AL13" s="398"/>
      <c r="AM13" s="658"/>
      <c r="AN13" s="838"/>
      <c r="AO13" s="333" t="s">
        <v>245</v>
      </c>
      <c r="AP13" s="333" t="s">
        <v>384</v>
      </c>
      <c r="AQ13" s="333" t="s">
        <v>452</v>
      </c>
      <c r="AR13" s="333" t="s">
        <v>355</v>
      </c>
      <c r="AS13" s="333" t="str">
        <f ca="1">IF(MW&lt;100,CONCATENATE("Onder de voorwaarden van art. 4.41 2e lid zijn halfjaarlijkse periodieke metingen door een geaccrediteerd laboratorium volgens NEN-EN 15058 toegestaan (art. 4.40 en 4.48)."," In dat geval voldoet de installatie als alle gevalideerde meetresultaten lager zijn dan de emissie-eis (art. 4.48)."),"")</f>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3" s="330"/>
      <c r="AU13" s="331"/>
      <c r="AV13" s="331"/>
      <c r="AW13" s="331"/>
      <c r="AX13" s="328"/>
    </row>
    <row r="14" spans="1:50" x14ac:dyDescent="0.2">
      <c r="A14" s="295"/>
      <c r="B14" s="339">
        <f t="shared" ref="B14:B15" ca="1" si="23">IF(AND(SUM(D14:K14,L14:M14)=COUNT(D14:K14,L14:M14),COUNT(D14:K14,L14:M14)&gt;0),ROW(B14),0)</f>
        <v>0</v>
      </c>
      <c r="C14" s="249">
        <f t="shared" ref="C14:C15" ca="1" si="24">IF(AND(SUM(D14:K14,N14:O14)=COUNT(D14:K14,N14:O14),COUNT(D14:K14,N14:O14)&gt;0),ROW(B14),0)</f>
        <v>0</v>
      </c>
      <c r="D14" s="246">
        <f t="shared" ref="D14:D15" ca="1" si="25">IF(AND(OR($Z14="",INGVAN="",$Z14&lt;=INGVAN),OR($Z14="",INGTOT="",$Z14&lt;=INGTOT),OR($AA14="",INGVAN="",$AA14&gt;=INGVAN),OR($AA14="",INGTOT="",$AA14&gt;=INGTOT)),1,0)</f>
        <v>1</v>
      </c>
      <c r="E14" s="247">
        <f t="shared" ca="1" si="15"/>
        <v>1</v>
      </c>
      <c r="F14" s="247">
        <f t="shared" ca="1" si="16"/>
        <v>1</v>
      </c>
      <c r="G14" s="147">
        <f ca="1">IF(TSI&lt;3,1,0)</f>
        <v>1</v>
      </c>
      <c r="H14" s="147"/>
      <c r="I14" s="148"/>
      <c r="J14" s="147"/>
      <c r="K14" s="148"/>
      <c r="L14" s="147">
        <f ca="1">IF(FBRAND1="g",1,0)</f>
        <v>1</v>
      </c>
      <c r="M14" s="248">
        <f t="shared" ca="1" si="20"/>
        <v>0</v>
      </c>
      <c r="N14" s="147">
        <f ca="1">IF(FBRAND2="g",1,0)</f>
        <v>0</v>
      </c>
      <c r="O14" s="249">
        <f t="shared" ca="1" si="21"/>
        <v>0</v>
      </c>
      <c r="P14" s="279" t="s">
        <v>40</v>
      </c>
      <c r="Q14" s="160" t="s">
        <v>9</v>
      </c>
      <c r="R14" s="149" t="s">
        <v>178</v>
      </c>
      <c r="S14" s="149"/>
      <c r="T14" s="149"/>
      <c r="U14" s="150"/>
      <c r="V14" s="150"/>
      <c r="W14" s="150"/>
      <c r="X14" s="150"/>
      <c r="Y14" s="151"/>
      <c r="Z14" s="143"/>
      <c r="AA14" s="144"/>
      <c r="AB14" s="143"/>
      <c r="AC14" s="145"/>
      <c r="AD14" s="146"/>
      <c r="AE14" s="276" t="s">
        <v>453</v>
      </c>
      <c r="AF14" s="152" t="s">
        <v>122</v>
      </c>
      <c r="AG14" s="147"/>
      <c r="AH14" s="636"/>
      <c r="AI14" s="645"/>
      <c r="AJ14" s="269"/>
      <c r="AK14" s="626"/>
      <c r="AL14" s="147"/>
      <c r="AM14" s="655"/>
      <c r="AN14" s="834"/>
      <c r="AO14" s="325" t="str">
        <f>AO$13</f>
        <v>Er geldt een continue meetverplichting (art 4.41).</v>
      </c>
      <c r="AP14" s="325" t="str">
        <f t="shared" ref="AP14:AS15" si="26">AP$13</f>
        <v xml:space="preserve">De kwaliteitsborging van het continue meetsysteem vindt plaats volgens NEN-EN 14181 (art. 4.40). </v>
      </c>
      <c r="AQ14" s="325" t="str">
        <f t="shared" si="26"/>
        <v>De aangetoonde meetonzekerheid mag niet groter zijn dan 10% van de emissie-eis (art. 4.48).</v>
      </c>
      <c r="AR14" s="325" t="str">
        <f t="shared" si="26"/>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4" s="325" t="str">
        <f t="shared" ca="1" si="26"/>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4" s="149"/>
      <c r="AU14" s="150"/>
      <c r="AV14" s="150"/>
      <c r="AW14" s="150"/>
      <c r="AX14" s="151"/>
    </row>
    <row r="15" spans="1:50" x14ac:dyDescent="0.2">
      <c r="A15" s="295"/>
      <c r="B15" s="339">
        <f t="shared" ca="1" si="23"/>
        <v>0</v>
      </c>
      <c r="C15" s="249">
        <f t="shared" ca="1" si="24"/>
        <v>0</v>
      </c>
      <c r="D15" s="246">
        <f t="shared" ca="1" si="25"/>
        <v>1</v>
      </c>
      <c r="E15" s="247">
        <f t="shared" ca="1" si="15"/>
        <v>1</v>
      </c>
      <c r="F15" s="247">
        <f t="shared" ca="1" si="16"/>
        <v>1</v>
      </c>
      <c r="G15" s="147">
        <f ca="1">IF(SI=3,1,0)</f>
        <v>0</v>
      </c>
      <c r="H15" s="147"/>
      <c r="I15" s="148"/>
      <c r="J15" s="147"/>
      <c r="K15" s="148"/>
      <c r="L15" s="147">
        <f ca="1">IF(FBRAND1="l",1,0)</f>
        <v>0</v>
      </c>
      <c r="M15" s="248">
        <f t="shared" ca="1" si="20"/>
        <v>0</v>
      </c>
      <c r="N15" s="147">
        <f ca="1">IF(FBRAND2="l",1,0)</f>
        <v>0</v>
      </c>
      <c r="O15" s="249">
        <f t="shared" ca="1" si="21"/>
        <v>0</v>
      </c>
      <c r="P15" s="279" t="s">
        <v>40</v>
      </c>
      <c r="Q15" s="160" t="s">
        <v>157</v>
      </c>
      <c r="R15" s="149" t="s">
        <v>158</v>
      </c>
      <c r="S15" s="149"/>
      <c r="T15" s="149"/>
      <c r="U15" s="150"/>
      <c r="V15" s="150"/>
      <c r="W15" s="150"/>
      <c r="X15" s="150"/>
      <c r="Y15" s="151"/>
      <c r="Z15" s="143"/>
      <c r="AA15" s="144"/>
      <c r="AB15" s="143"/>
      <c r="AC15" s="145"/>
      <c r="AD15" s="146"/>
      <c r="AE15" s="276" t="s">
        <v>453</v>
      </c>
      <c r="AF15" s="152" t="s">
        <v>122</v>
      </c>
      <c r="AG15" s="147"/>
      <c r="AH15" s="636"/>
      <c r="AI15" s="645"/>
      <c r="AJ15" s="269"/>
      <c r="AK15" s="626"/>
      <c r="AL15" s="147"/>
      <c r="AM15" s="655"/>
      <c r="AN15" s="839"/>
      <c r="AO15" s="348" t="str">
        <f t="shared" ref="AO15" si="27">AO$13</f>
        <v>Er geldt een continue meetverplichting (art 4.41).</v>
      </c>
      <c r="AP15" s="325" t="str">
        <f t="shared" si="26"/>
        <v xml:space="preserve">De kwaliteitsborging van het continue meetsysteem vindt plaats volgens NEN-EN 14181 (art. 4.40). </v>
      </c>
      <c r="AQ15" s="325" t="str">
        <f t="shared" si="26"/>
        <v>De aangetoonde meetonzekerheid mag niet groter zijn dan 10% van de emissie-eis (art. 4.48).</v>
      </c>
      <c r="AR15" s="348" t="str">
        <f t="shared" si="26"/>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5" s="348" t="str">
        <f t="shared" ca="1" si="26"/>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5" s="149"/>
      <c r="AU15" s="150"/>
      <c r="AV15" s="150"/>
      <c r="AW15" s="150"/>
      <c r="AX15" s="151"/>
    </row>
    <row r="16" spans="1:50" x14ac:dyDescent="0.2">
      <c r="A16" s="295"/>
      <c r="B16" s="340"/>
      <c r="C16" s="341"/>
      <c r="D16" s="326"/>
      <c r="E16" s="46"/>
      <c r="F16" s="46"/>
      <c r="G16" s="147"/>
      <c r="H16" s="147"/>
      <c r="I16" s="148"/>
      <c r="J16" s="147"/>
      <c r="K16" s="148"/>
      <c r="L16" s="147"/>
      <c r="M16" s="56"/>
      <c r="N16" s="147"/>
      <c r="O16" s="59"/>
      <c r="P16" s="279"/>
      <c r="Q16" s="160"/>
      <c r="R16" s="149"/>
      <c r="S16" s="149"/>
      <c r="T16" s="149"/>
      <c r="U16" s="150"/>
      <c r="V16" s="150"/>
      <c r="W16" s="150"/>
      <c r="X16" s="150"/>
      <c r="Y16" s="151"/>
      <c r="Z16" s="143"/>
      <c r="AA16" s="144"/>
      <c r="AB16" s="143"/>
      <c r="AC16" s="145"/>
      <c r="AD16" s="146"/>
      <c r="AE16" s="276"/>
      <c r="AF16" s="152"/>
      <c r="AG16" s="147"/>
      <c r="AH16" s="636"/>
      <c r="AI16" s="645"/>
      <c r="AJ16" s="269"/>
      <c r="AK16" s="626"/>
      <c r="AL16" s="147"/>
      <c r="AM16" s="655"/>
      <c r="AN16" s="835"/>
      <c r="AO16" s="684"/>
      <c r="AP16" s="155"/>
      <c r="AQ16" s="155"/>
      <c r="AR16" s="155"/>
      <c r="AS16" s="149"/>
      <c r="AT16" s="155"/>
      <c r="AU16" s="157"/>
      <c r="AV16" s="157"/>
      <c r="AW16" s="157"/>
      <c r="AX16" s="151"/>
    </row>
    <row r="17" spans="1:50" x14ac:dyDescent="0.2">
      <c r="A17" s="363" t="s">
        <v>338</v>
      </c>
      <c r="B17" s="364"/>
      <c r="C17" s="365"/>
      <c r="D17" s="366"/>
      <c r="E17" s="367"/>
      <c r="F17" s="367"/>
      <c r="G17" s="368"/>
      <c r="H17" s="368"/>
      <c r="I17" s="369"/>
      <c r="J17" s="368"/>
      <c r="K17" s="369"/>
      <c r="L17" s="368"/>
      <c r="M17" s="370"/>
      <c r="N17" s="368"/>
      <c r="O17" s="371"/>
      <c r="P17" s="372"/>
      <c r="Q17" s="373"/>
      <c r="R17" s="374"/>
      <c r="S17" s="374"/>
      <c r="T17" s="374"/>
      <c r="U17" s="375"/>
      <c r="V17" s="375"/>
      <c r="W17" s="375"/>
      <c r="X17" s="375"/>
      <c r="Y17" s="376"/>
      <c r="Z17" s="377"/>
      <c r="AA17" s="378"/>
      <c r="AB17" s="377"/>
      <c r="AC17" s="379"/>
      <c r="AD17" s="380"/>
      <c r="AE17" s="381"/>
      <c r="AF17" s="382"/>
      <c r="AG17" s="368"/>
      <c r="AH17" s="637"/>
      <c r="AI17" s="646"/>
      <c r="AJ17" s="383"/>
      <c r="AK17" s="627"/>
      <c r="AL17" s="368"/>
      <c r="AM17" s="656"/>
      <c r="AN17" s="345"/>
      <c r="AO17" s="346"/>
      <c r="AP17" s="346"/>
      <c r="AQ17" s="346"/>
      <c r="AR17" s="346"/>
      <c r="AS17" s="336"/>
      <c r="AT17" s="336"/>
      <c r="AU17" s="337"/>
      <c r="AV17" s="337"/>
      <c r="AW17" s="337"/>
      <c r="AX17" s="335"/>
    </row>
    <row r="18" spans="1:50" x14ac:dyDescent="0.2">
      <c r="A18" s="584"/>
      <c r="B18" s="585"/>
      <c r="C18" s="586"/>
      <c r="D18" s="587"/>
      <c r="E18" s="588"/>
      <c r="F18" s="588"/>
      <c r="G18" s="589"/>
      <c r="H18" s="589"/>
      <c r="I18" s="590"/>
      <c r="J18" s="589"/>
      <c r="K18" s="590"/>
      <c r="L18" s="589"/>
      <c r="M18" s="591"/>
      <c r="N18" s="589"/>
      <c r="O18" s="592"/>
      <c r="P18" s="593"/>
      <c r="Q18" s="594"/>
      <c r="R18" s="595"/>
      <c r="S18" s="595"/>
      <c r="T18" s="595"/>
      <c r="U18" s="596"/>
      <c r="V18" s="596"/>
      <c r="W18" s="596"/>
      <c r="X18" s="596"/>
      <c r="Y18" s="597"/>
      <c r="Z18" s="598"/>
      <c r="AA18" s="599"/>
      <c r="AB18" s="598"/>
      <c r="AC18" s="600"/>
      <c r="AD18" s="601"/>
      <c r="AE18" s="602"/>
      <c r="AF18" s="603"/>
      <c r="AG18" s="589"/>
      <c r="AH18" s="638"/>
      <c r="AI18" s="647"/>
      <c r="AJ18" s="604"/>
      <c r="AK18" s="628"/>
      <c r="AL18" s="589"/>
      <c r="AM18" s="657"/>
      <c r="AN18" s="605"/>
      <c r="AO18" s="606"/>
      <c r="AP18" s="606"/>
      <c r="AQ18" s="606"/>
      <c r="AR18" s="595"/>
      <c r="AS18" s="606"/>
      <c r="AT18" s="606"/>
      <c r="AU18" s="607"/>
      <c r="AV18" s="607"/>
      <c r="AW18" s="607"/>
      <c r="AX18" s="597"/>
    </row>
    <row r="19" spans="1:50" x14ac:dyDescent="0.2">
      <c r="A19" s="393" t="s">
        <v>293</v>
      </c>
      <c r="B19" s="394"/>
      <c r="C19" s="395"/>
      <c r="D19" s="396"/>
      <c r="E19" s="397"/>
      <c r="F19" s="397"/>
      <c r="G19" s="398"/>
      <c r="H19" s="398"/>
      <c r="I19" s="399"/>
      <c r="J19" s="398"/>
      <c r="K19" s="399"/>
      <c r="L19" s="398"/>
      <c r="M19" s="400"/>
      <c r="N19" s="398"/>
      <c r="O19" s="401"/>
      <c r="P19" s="402"/>
      <c r="Q19" s="403"/>
      <c r="R19" s="404"/>
      <c r="S19" s="404"/>
      <c r="T19" s="404"/>
      <c r="U19" s="405"/>
      <c r="V19" s="405"/>
      <c r="W19" s="405"/>
      <c r="X19" s="405"/>
      <c r="Y19" s="406"/>
      <c r="Z19" s="407"/>
      <c r="AA19" s="408"/>
      <c r="AB19" s="407"/>
      <c r="AC19" s="409"/>
      <c r="AD19" s="410"/>
      <c r="AE19" s="411"/>
      <c r="AF19" s="412"/>
      <c r="AG19" s="398"/>
      <c r="AH19" s="639"/>
      <c r="AI19" s="648"/>
      <c r="AJ19" s="413"/>
      <c r="AK19" s="629"/>
      <c r="AL19" s="398"/>
      <c r="AM19" s="658"/>
      <c r="AN19" s="332"/>
      <c r="AO19" s="333"/>
      <c r="AP19" s="333"/>
      <c r="AQ19" s="333"/>
      <c r="AR19" s="327"/>
      <c r="AS19" s="330"/>
      <c r="AT19" s="330"/>
      <c r="AU19" s="331"/>
      <c r="AV19" s="331"/>
      <c r="AW19" s="331"/>
      <c r="AX19" s="328"/>
    </row>
    <row r="20" spans="1:50" x14ac:dyDescent="0.2">
      <c r="A20" s="295"/>
      <c r="B20" s="340"/>
      <c r="C20" s="341"/>
      <c r="D20" s="326"/>
      <c r="E20" s="46"/>
      <c r="F20" s="46"/>
      <c r="G20" s="147"/>
      <c r="H20" s="147"/>
      <c r="I20" s="148"/>
      <c r="J20" s="147"/>
      <c r="K20" s="148"/>
      <c r="L20" s="147"/>
      <c r="M20" s="56"/>
      <c r="N20" s="147"/>
      <c r="O20" s="59"/>
      <c r="P20" s="279"/>
      <c r="Q20" s="160"/>
      <c r="R20" s="149"/>
      <c r="S20" s="149"/>
      <c r="T20" s="149"/>
      <c r="U20" s="150"/>
      <c r="V20" s="150"/>
      <c r="W20" s="150"/>
      <c r="X20" s="150"/>
      <c r="Y20" s="151"/>
      <c r="Z20" s="143"/>
      <c r="AA20" s="144"/>
      <c r="AB20" s="143"/>
      <c r="AC20" s="145"/>
      <c r="AD20" s="146"/>
      <c r="AE20" s="276"/>
      <c r="AF20" s="152"/>
      <c r="AG20" s="147"/>
      <c r="AH20" s="636"/>
      <c r="AI20" s="645"/>
      <c r="AJ20" s="269"/>
      <c r="AK20" s="626"/>
      <c r="AL20" s="147"/>
      <c r="AM20" s="636"/>
      <c r="AN20" s="685"/>
      <c r="AO20" s="684"/>
      <c r="AP20" s="684"/>
      <c r="AQ20" s="684"/>
      <c r="AR20" s="149"/>
      <c r="AS20" s="155"/>
      <c r="AT20" s="155"/>
      <c r="AU20" s="157"/>
      <c r="AV20" s="157"/>
      <c r="AW20" s="157"/>
      <c r="AX20" s="151"/>
    </row>
    <row r="21" spans="1:50" x14ac:dyDescent="0.2">
      <c r="A21" s="363" t="s">
        <v>339</v>
      </c>
      <c r="B21" s="364"/>
      <c r="C21" s="365"/>
      <c r="D21" s="366"/>
      <c r="E21" s="367"/>
      <c r="F21" s="367"/>
      <c r="G21" s="368"/>
      <c r="H21" s="368"/>
      <c r="I21" s="369"/>
      <c r="J21" s="368"/>
      <c r="K21" s="369"/>
      <c r="L21" s="368"/>
      <c r="M21" s="370"/>
      <c r="N21" s="368"/>
      <c r="O21" s="371"/>
      <c r="P21" s="372"/>
      <c r="Q21" s="373"/>
      <c r="R21" s="374"/>
      <c r="S21" s="374"/>
      <c r="T21" s="374"/>
      <c r="U21" s="375"/>
      <c r="V21" s="375"/>
      <c r="W21" s="375"/>
      <c r="X21" s="375"/>
      <c r="Y21" s="376"/>
      <c r="Z21" s="377"/>
      <c r="AA21" s="378"/>
      <c r="AB21" s="377"/>
      <c r="AC21" s="379"/>
      <c r="AD21" s="380"/>
      <c r="AE21" s="381"/>
      <c r="AF21" s="382"/>
      <c r="AG21" s="368"/>
      <c r="AH21" s="637"/>
      <c r="AI21" s="646"/>
      <c r="AJ21" s="383"/>
      <c r="AK21" s="627"/>
      <c r="AL21" s="368"/>
      <c r="AM21" s="637"/>
      <c r="AN21" s="686"/>
      <c r="AO21" s="346"/>
      <c r="AP21" s="346"/>
      <c r="AQ21" s="346"/>
      <c r="AR21" s="346"/>
      <c r="AS21" s="336"/>
      <c r="AT21" s="336"/>
      <c r="AU21" s="337"/>
      <c r="AV21" s="337"/>
      <c r="AW21" s="337"/>
      <c r="AX21" s="335"/>
    </row>
    <row r="22" spans="1:50" x14ac:dyDescent="0.2">
      <c r="A22" s="584"/>
      <c r="B22" s="585"/>
      <c r="C22" s="586"/>
      <c r="D22" s="587"/>
      <c r="E22" s="588"/>
      <c r="F22" s="588"/>
      <c r="G22" s="589"/>
      <c r="H22" s="589"/>
      <c r="I22" s="590"/>
      <c r="J22" s="589"/>
      <c r="K22" s="590"/>
      <c r="L22" s="589"/>
      <c r="M22" s="591"/>
      <c r="N22" s="589"/>
      <c r="O22" s="592"/>
      <c r="P22" s="593"/>
      <c r="Q22" s="594"/>
      <c r="R22" s="595"/>
      <c r="S22" s="595"/>
      <c r="T22" s="595"/>
      <c r="U22" s="596"/>
      <c r="V22" s="596"/>
      <c r="W22" s="596"/>
      <c r="X22" s="596"/>
      <c r="Y22" s="597"/>
      <c r="Z22" s="598"/>
      <c r="AA22" s="599"/>
      <c r="AB22" s="598"/>
      <c r="AC22" s="600"/>
      <c r="AD22" s="601"/>
      <c r="AE22" s="602"/>
      <c r="AF22" s="603"/>
      <c r="AG22" s="589"/>
      <c r="AH22" s="638"/>
      <c r="AI22" s="647"/>
      <c r="AJ22" s="604"/>
      <c r="AK22" s="628"/>
      <c r="AL22" s="589"/>
      <c r="AM22" s="657"/>
      <c r="AN22" s="605"/>
      <c r="AO22" s="606"/>
      <c r="AP22" s="606"/>
      <c r="AQ22" s="606"/>
      <c r="AR22" s="595"/>
      <c r="AS22" s="606"/>
      <c r="AT22" s="606"/>
      <c r="AU22" s="607"/>
      <c r="AV22" s="607"/>
      <c r="AW22" s="607"/>
      <c r="AX22" s="597"/>
    </row>
    <row r="23" spans="1:50" x14ac:dyDescent="0.2">
      <c r="A23" s="393" t="s">
        <v>292</v>
      </c>
      <c r="B23" s="394"/>
      <c r="C23" s="395"/>
      <c r="D23" s="396"/>
      <c r="E23" s="397"/>
      <c r="F23" s="397"/>
      <c r="G23" s="398"/>
      <c r="H23" s="398"/>
      <c r="I23" s="399"/>
      <c r="J23" s="398"/>
      <c r="K23" s="399"/>
      <c r="L23" s="398"/>
      <c r="M23" s="400"/>
      <c r="N23" s="398"/>
      <c r="O23" s="401"/>
      <c r="P23" s="402"/>
      <c r="Q23" s="403"/>
      <c r="R23" s="404"/>
      <c r="S23" s="404"/>
      <c r="T23" s="404"/>
      <c r="U23" s="405"/>
      <c r="V23" s="405"/>
      <c r="W23" s="405"/>
      <c r="X23" s="405"/>
      <c r="Y23" s="406"/>
      <c r="Z23" s="407"/>
      <c r="AA23" s="408"/>
      <c r="AB23" s="407"/>
      <c r="AC23" s="409"/>
      <c r="AD23" s="410"/>
      <c r="AE23" s="411"/>
      <c r="AF23" s="412"/>
      <c r="AG23" s="398"/>
      <c r="AH23" s="639"/>
      <c r="AI23" s="648"/>
      <c r="AJ23" s="413"/>
      <c r="AK23" s="629"/>
      <c r="AL23" s="398"/>
      <c r="AM23" s="658"/>
      <c r="AN23" s="332"/>
      <c r="AO23" s="333"/>
      <c r="AP23" s="333"/>
      <c r="AQ23" s="333"/>
      <c r="AR23" s="327"/>
      <c r="AS23" s="330"/>
      <c r="AT23" s="330"/>
      <c r="AU23" s="331"/>
      <c r="AV23" s="331"/>
      <c r="AW23" s="331"/>
      <c r="AX23" s="328"/>
    </row>
    <row r="24" spans="1:50" x14ac:dyDescent="0.2">
      <c r="A24" s="295"/>
      <c r="B24" s="340"/>
      <c r="C24" s="341"/>
      <c r="D24" s="326"/>
      <c r="E24" s="46"/>
      <c r="F24" s="46"/>
      <c r="G24" s="147"/>
      <c r="H24" s="147"/>
      <c r="I24" s="148"/>
      <c r="J24" s="147"/>
      <c r="K24" s="148"/>
      <c r="L24" s="147"/>
      <c r="M24" s="56"/>
      <c r="N24" s="147"/>
      <c r="O24" s="59"/>
      <c r="P24" s="279"/>
      <c r="Q24" s="160"/>
      <c r="R24" s="149"/>
      <c r="S24" s="149"/>
      <c r="T24" s="149"/>
      <c r="U24" s="150"/>
      <c r="V24" s="150"/>
      <c r="W24" s="150"/>
      <c r="X24" s="150"/>
      <c r="Y24" s="151"/>
      <c r="Z24" s="143"/>
      <c r="AA24" s="144"/>
      <c r="AB24" s="143"/>
      <c r="AC24" s="145"/>
      <c r="AD24" s="146"/>
      <c r="AE24" s="276"/>
      <c r="AF24" s="152"/>
      <c r="AG24" s="147"/>
      <c r="AH24" s="636"/>
      <c r="AI24" s="645"/>
      <c r="AJ24" s="269"/>
      <c r="AK24" s="626"/>
      <c r="AL24" s="147"/>
      <c r="AM24" s="655"/>
      <c r="AN24" s="154"/>
      <c r="AO24" s="155"/>
      <c r="AP24" s="155"/>
      <c r="AQ24" s="155"/>
      <c r="AR24" s="149"/>
      <c r="AS24" s="155"/>
      <c r="AT24" s="155"/>
      <c r="AU24" s="157"/>
      <c r="AV24" s="157"/>
      <c r="AW24" s="157"/>
      <c r="AX24" s="151"/>
    </row>
    <row r="25" spans="1:50" x14ac:dyDescent="0.2">
      <c r="A25" s="363" t="s">
        <v>340</v>
      </c>
      <c r="B25" s="364"/>
      <c r="C25" s="365"/>
      <c r="D25" s="366"/>
      <c r="E25" s="367"/>
      <c r="F25" s="367"/>
      <c r="G25" s="368"/>
      <c r="H25" s="368"/>
      <c r="I25" s="369"/>
      <c r="J25" s="368"/>
      <c r="K25" s="369"/>
      <c r="L25" s="368"/>
      <c r="M25" s="370"/>
      <c r="N25" s="368"/>
      <c r="O25" s="371"/>
      <c r="P25" s="372"/>
      <c r="Q25" s="373"/>
      <c r="R25" s="374"/>
      <c r="S25" s="374"/>
      <c r="T25" s="374"/>
      <c r="U25" s="375"/>
      <c r="V25" s="375"/>
      <c r="W25" s="375"/>
      <c r="X25" s="375"/>
      <c r="Y25" s="376"/>
      <c r="Z25" s="377"/>
      <c r="AA25" s="378"/>
      <c r="AB25" s="377"/>
      <c r="AC25" s="379"/>
      <c r="AD25" s="380"/>
      <c r="AE25" s="381"/>
      <c r="AF25" s="382"/>
      <c r="AG25" s="368"/>
      <c r="AH25" s="637"/>
      <c r="AI25" s="646"/>
      <c r="AJ25" s="383"/>
      <c r="AK25" s="627"/>
      <c r="AL25" s="368"/>
      <c r="AM25" s="656"/>
      <c r="AN25" s="345"/>
      <c r="AO25" s="346"/>
      <c r="AP25" s="346"/>
      <c r="AQ25" s="346"/>
      <c r="AR25" s="346"/>
      <c r="AS25" s="336"/>
      <c r="AT25" s="336"/>
      <c r="AU25" s="337"/>
      <c r="AV25" s="337"/>
      <c r="AW25" s="337"/>
      <c r="AX25" s="335"/>
    </row>
    <row r="26" spans="1:50" x14ac:dyDescent="0.2">
      <c r="A26" s="584"/>
      <c r="B26" s="585"/>
      <c r="C26" s="586"/>
      <c r="D26" s="587"/>
      <c r="E26" s="588"/>
      <c r="F26" s="588"/>
      <c r="G26" s="589"/>
      <c r="H26" s="589"/>
      <c r="I26" s="590"/>
      <c r="J26" s="589"/>
      <c r="K26" s="590"/>
      <c r="L26" s="589"/>
      <c r="M26" s="591"/>
      <c r="N26" s="589"/>
      <c r="O26" s="592"/>
      <c r="P26" s="593"/>
      <c r="Q26" s="594"/>
      <c r="R26" s="595"/>
      <c r="S26" s="595"/>
      <c r="T26" s="595"/>
      <c r="U26" s="596"/>
      <c r="V26" s="596"/>
      <c r="W26" s="596"/>
      <c r="X26" s="596"/>
      <c r="Y26" s="597"/>
      <c r="Z26" s="598"/>
      <c r="AA26" s="599"/>
      <c r="AB26" s="598"/>
      <c r="AC26" s="600"/>
      <c r="AD26" s="601"/>
      <c r="AE26" s="602"/>
      <c r="AF26" s="603"/>
      <c r="AG26" s="589"/>
      <c r="AH26" s="638"/>
      <c r="AI26" s="647"/>
      <c r="AJ26" s="604"/>
      <c r="AK26" s="628"/>
      <c r="AL26" s="589"/>
      <c r="AM26" s="657"/>
      <c r="AN26" s="605"/>
      <c r="AO26" s="606"/>
      <c r="AP26" s="606"/>
      <c r="AQ26" s="606"/>
      <c r="AR26" s="595"/>
      <c r="AS26" s="606"/>
      <c r="AT26" s="606"/>
      <c r="AU26" s="607"/>
      <c r="AV26" s="607"/>
      <c r="AW26" s="607"/>
      <c r="AX26" s="597"/>
    </row>
    <row r="27" spans="1:50" x14ac:dyDescent="0.2">
      <c r="A27" s="393" t="s">
        <v>291</v>
      </c>
      <c r="B27" s="394"/>
      <c r="C27" s="395"/>
      <c r="D27" s="396"/>
      <c r="E27" s="397"/>
      <c r="F27" s="397"/>
      <c r="G27" s="398"/>
      <c r="H27" s="398"/>
      <c r="I27" s="399"/>
      <c r="J27" s="398"/>
      <c r="K27" s="399"/>
      <c r="L27" s="398"/>
      <c r="M27" s="400"/>
      <c r="N27" s="398"/>
      <c r="O27" s="401"/>
      <c r="P27" s="402"/>
      <c r="Q27" s="403"/>
      <c r="R27" s="404"/>
      <c r="S27" s="404"/>
      <c r="T27" s="404"/>
      <c r="U27" s="405"/>
      <c r="V27" s="405"/>
      <c r="W27" s="405"/>
      <c r="X27" s="405"/>
      <c r="Y27" s="406"/>
      <c r="Z27" s="407"/>
      <c r="AA27" s="408"/>
      <c r="AB27" s="407"/>
      <c r="AC27" s="409"/>
      <c r="AD27" s="410"/>
      <c r="AE27" s="411"/>
      <c r="AF27" s="412"/>
      <c r="AG27" s="398"/>
      <c r="AH27" s="639"/>
      <c r="AI27" s="648"/>
      <c r="AJ27" s="413"/>
      <c r="AK27" s="629"/>
      <c r="AL27" s="398"/>
      <c r="AM27" s="658"/>
      <c r="AN27" s="332"/>
      <c r="AO27" s="333"/>
      <c r="AP27" s="333"/>
      <c r="AQ27" s="333"/>
      <c r="AR27" s="327"/>
      <c r="AS27" s="330"/>
      <c r="AT27" s="330"/>
      <c r="AU27" s="331"/>
      <c r="AV27" s="331"/>
      <c r="AW27" s="331"/>
      <c r="AX27" s="328"/>
    </row>
    <row r="28" spans="1:50" x14ac:dyDescent="0.2">
      <c r="A28" s="295"/>
      <c r="B28" s="340"/>
      <c r="C28" s="341"/>
      <c r="D28" s="326"/>
      <c r="E28" s="46"/>
      <c r="F28" s="46"/>
      <c r="G28" s="147"/>
      <c r="H28" s="147"/>
      <c r="I28" s="148"/>
      <c r="J28" s="147"/>
      <c r="K28" s="148"/>
      <c r="L28" s="147"/>
      <c r="M28" s="56"/>
      <c r="N28" s="147"/>
      <c r="O28" s="59"/>
      <c r="P28" s="279"/>
      <c r="Q28" s="160"/>
      <c r="R28" s="149"/>
      <c r="S28" s="149"/>
      <c r="T28" s="149"/>
      <c r="U28" s="150"/>
      <c r="V28" s="150"/>
      <c r="W28" s="150"/>
      <c r="X28" s="150"/>
      <c r="Y28" s="151"/>
      <c r="Z28" s="143"/>
      <c r="AA28" s="144"/>
      <c r="AB28" s="143"/>
      <c r="AC28" s="145"/>
      <c r="AD28" s="146"/>
      <c r="AE28" s="276"/>
      <c r="AF28" s="152"/>
      <c r="AG28" s="147"/>
      <c r="AH28" s="636"/>
      <c r="AI28" s="645"/>
      <c r="AJ28" s="269"/>
      <c r="AK28" s="626"/>
      <c r="AL28" s="147"/>
      <c r="AM28" s="655"/>
      <c r="AN28" s="154"/>
      <c r="AO28" s="155"/>
      <c r="AP28" s="155"/>
      <c r="AQ28" s="155"/>
      <c r="AR28" s="149"/>
      <c r="AS28" s="155"/>
      <c r="AT28" s="155"/>
      <c r="AU28" s="157"/>
      <c r="AV28" s="157"/>
      <c r="AW28" s="157"/>
      <c r="AX28" s="151"/>
    </row>
    <row r="29" spans="1:50" x14ac:dyDescent="0.2">
      <c r="A29" s="363" t="s">
        <v>341</v>
      </c>
      <c r="B29" s="364"/>
      <c r="C29" s="365"/>
      <c r="D29" s="366"/>
      <c r="E29" s="367"/>
      <c r="F29" s="367"/>
      <c r="G29" s="368"/>
      <c r="H29" s="368"/>
      <c r="I29" s="369"/>
      <c r="J29" s="368"/>
      <c r="K29" s="369"/>
      <c r="L29" s="368"/>
      <c r="M29" s="370"/>
      <c r="N29" s="368"/>
      <c r="O29" s="371"/>
      <c r="P29" s="372"/>
      <c r="Q29" s="373"/>
      <c r="R29" s="374"/>
      <c r="S29" s="374"/>
      <c r="T29" s="374"/>
      <c r="U29" s="375"/>
      <c r="V29" s="375"/>
      <c r="W29" s="375"/>
      <c r="X29" s="375"/>
      <c r="Y29" s="376"/>
      <c r="Z29" s="377"/>
      <c r="AA29" s="378"/>
      <c r="AB29" s="377"/>
      <c r="AC29" s="379"/>
      <c r="AD29" s="380"/>
      <c r="AE29" s="381"/>
      <c r="AF29" s="382"/>
      <c r="AG29" s="368"/>
      <c r="AH29" s="637"/>
      <c r="AI29" s="646"/>
      <c r="AJ29" s="383"/>
      <c r="AK29" s="627"/>
      <c r="AL29" s="368"/>
      <c r="AM29" s="656"/>
      <c r="AN29" s="345"/>
      <c r="AO29" s="346"/>
      <c r="AP29" s="346"/>
      <c r="AQ29" s="346"/>
      <c r="AR29" s="346"/>
      <c r="AS29" s="336"/>
      <c r="AT29" s="336"/>
      <c r="AU29" s="337"/>
      <c r="AV29" s="337"/>
      <c r="AW29" s="337"/>
      <c r="AX29" s="335"/>
    </row>
    <row r="30" spans="1:50" x14ac:dyDescent="0.2">
      <c r="A30" s="584"/>
      <c r="B30" s="585"/>
      <c r="C30" s="586"/>
      <c r="D30" s="608"/>
      <c r="E30" s="589"/>
      <c r="F30" s="589"/>
      <c r="G30" s="589"/>
      <c r="H30" s="589"/>
      <c r="I30" s="590"/>
      <c r="J30" s="589"/>
      <c r="K30" s="590"/>
      <c r="L30" s="589"/>
      <c r="M30" s="590"/>
      <c r="N30" s="590"/>
      <c r="O30" s="590"/>
      <c r="P30" s="593"/>
      <c r="Q30" s="595"/>
      <c r="R30" s="595"/>
      <c r="S30" s="595"/>
      <c r="T30" s="595"/>
      <c r="U30" s="596"/>
      <c r="V30" s="596"/>
      <c r="W30" s="596"/>
      <c r="X30" s="596"/>
      <c r="Y30" s="597"/>
      <c r="Z30" s="598"/>
      <c r="AA30" s="599"/>
      <c r="AB30" s="598"/>
      <c r="AC30" s="600"/>
      <c r="AD30" s="601"/>
      <c r="AE30" s="602"/>
      <c r="AF30" s="603"/>
      <c r="AG30" s="589"/>
      <c r="AH30" s="638"/>
      <c r="AI30" s="647"/>
      <c r="AJ30" s="604"/>
      <c r="AK30" s="628"/>
      <c r="AL30" s="589"/>
      <c r="AM30" s="657"/>
      <c r="AN30" s="609"/>
      <c r="AO30" s="595"/>
      <c r="AP30" s="595"/>
      <c r="AQ30" s="595"/>
      <c r="AR30" s="595"/>
      <c r="AS30" s="595"/>
      <c r="AT30" s="595"/>
      <c r="AU30" s="596"/>
      <c r="AV30" s="596"/>
      <c r="AW30" s="596"/>
      <c r="AX30" s="597"/>
    </row>
    <row r="31" spans="1:50" x14ac:dyDescent="0.2">
      <c r="A31" s="393" t="s">
        <v>290</v>
      </c>
      <c r="B31" s="394"/>
      <c r="C31" s="395"/>
      <c r="D31" s="396"/>
      <c r="E31" s="397"/>
      <c r="F31" s="397"/>
      <c r="G31" s="398"/>
      <c r="H31" s="398"/>
      <c r="I31" s="399"/>
      <c r="J31" s="398"/>
      <c r="K31" s="399"/>
      <c r="L31" s="398"/>
      <c r="M31" s="400"/>
      <c r="N31" s="398"/>
      <c r="O31" s="401"/>
      <c r="P31" s="402"/>
      <c r="Q31" s="403"/>
      <c r="R31" s="404"/>
      <c r="S31" s="404"/>
      <c r="T31" s="404"/>
      <c r="U31" s="405"/>
      <c r="V31" s="405"/>
      <c r="W31" s="405"/>
      <c r="X31" s="405"/>
      <c r="Y31" s="406"/>
      <c r="Z31" s="407"/>
      <c r="AA31" s="408"/>
      <c r="AB31" s="407"/>
      <c r="AC31" s="409"/>
      <c r="AD31" s="410"/>
      <c r="AE31" s="411"/>
      <c r="AF31" s="412"/>
      <c r="AG31" s="398"/>
      <c r="AH31" s="639"/>
      <c r="AI31" s="648"/>
      <c r="AJ31" s="413"/>
      <c r="AK31" s="629"/>
      <c r="AL31" s="398"/>
      <c r="AM31" s="658"/>
      <c r="AN31" s="329"/>
      <c r="AO31" s="330"/>
      <c r="AP31" s="330"/>
      <c r="AQ31" s="330"/>
      <c r="AR31" s="327"/>
      <c r="AS31" s="330"/>
      <c r="AT31" s="330"/>
      <c r="AU31" s="331"/>
      <c r="AV31" s="331"/>
      <c r="AW31" s="331"/>
      <c r="AX31" s="328"/>
    </row>
    <row r="32" spans="1:50" x14ac:dyDescent="0.2">
      <c r="A32" s="334"/>
      <c r="B32" s="340"/>
      <c r="C32" s="341"/>
      <c r="D32" s="338"/>
      <c r="E32" s="46"/>
      <c r="F32" s="46"/>
      <c r="G32" s="147"/>
      <c r="H32" s="147"/>
      <c r="I32" s="148"/>
      <c r="J32" s="147"/>
      <c r="K32" s="148"/>
      <c r="L32" s="147"/>
      <c r="M32" s="56"/>
      <c r="N32" s="148"/>
      <c r="O32" s="56"/>
      <c r="P32" s="279"/>
      <c r="Q32" s="160"/>
      <c r="R32" s="149"/>
      <c r="S32" s="149"/>
      <c r="T32" s="149"/>
      <c r="U32" s="150"/>
      <c r="V32" s="150"/>
      <c r="W32" s="150"/>
      <c r="X32" s="150"/>
      <c r="Y32" s="151"/>
      <c r="Z32" s="143"/>
      <c r="AA32" s="144"/>
      <c r="AB32" s="143"/>
      <c r="AC32" s="145"/>
      <c r="AD32" s="146"/>
      <c r="AE32" s="276"/>
      <c r="AF32" s="152"/>
      <c r="AG32" s="147"/>
      <c r="AH32" s="636"/>
      <c r="AI32" s="645"/>
      <c r="AJ32" s="269"/>
      <c r="AK32" s="626"/>
      <c r="AL32" s="147"/>
      <c r="AM32" s="655"/>
      <c r="AN32" s="154"/>
      <c r="AO32" s="155"/>
      <c r="AP32" s="155"/>
      <c r="AQ32" s="155"/>
      <c r="AR32" s="149"/>
      <c r="AS32" s="155"/>
      <c r="AT32" s="155"/>
      <c r="AU32" s="157"/>
      <c r="AV32" s="157"/>
      <c r="AW32" s="157"/>
      <c r="AX32" s="151"/>
    </row>
    <row r="33" spans="1:50" ht="12" thickBot="1" x14ac:dyDescent="0.25">
      <c r="A33" s="297"/>
      <c r="B33" s="343"/>
      <c r="C33" s="344"/>
      <c r="D33" s="161"/>
      <c r="E33" s="161"/>
      <c r="F33" s="161"/>
      <c r="G33" s="161"/>
      <c r="H33" s="161"/>
      <c r="I33" s="162"/>
      <c r="J33" s="161"/>
      <c r="K33" s="162"/>
      <c r="L33" s="161"/>
      <c r="M33" s="162"/>
      <c r="N33" s="162"/>
      <c r="O33" s="162"/>
      <c r="P33" s="280"/>
      <c r="Q33" s="163"/>
      <c r="R33" s="163"/>
      <c r="S33" s="163"/>
      <c r="T33" s="163"/>
      <c r="U33" s="164"/>
      <c r="V33" s="164"/>
      <c r="W33" s="164"/>
      <c r="X33" s="164"/>
      <c r="Y33" s="165"/>
      <c r="Z33" s="166"/>
      <c r="AA33" s="167"/>
      <c r="AB33" s="166"/>
      <c r="AC33" s="168"/>
      <c r="AD33" s="169"/>
      <c r="AE33" s="278"/>
      <c r="AF33" s="171"/>
      <c r="AG33" s="161"/>
      <c r="AH33" s="640"/>
      <c r="AI33" s="649"/>
      <c r="AJ33" s="270"/>
      <c r="AK33" s="632"/>
      <c r="AL33" s="161"/>
      <c r="AM33" s="659"/>
      <c r="AN33" s="170"/>
      <c r="AO33" s="163"/>
      <c r="AP33" s="163"/>
      <c r="AQ33" s="163"/>
      <c r="AR33" s="163"/>
      <c r="AS33" s="163"/>
      <c r="AT33" s="163"/>
      <c r="AU33" s="164"/>
      <c r="AV33" s="164"/>
      <c r="AW33" s="164"/>
      <c r="AX33"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93"/>
  <sheetViews>
    <sheetView workbookViewId="0">
      <pane xSplit="20" ySplit="6" topLeftCell="AE37" activePane="bottomRight" state="frozen"/>
      <selection pane="topRight" activeCell="U1" sqref="U1"/>
      <selection pane="bottomLeft" activeCell="A7" sqref="A7"/>
      <selection pane="bottomRight" activeCell="T43" sqref="T43"/>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customWidth="1"/>
    <col min="18" max="18" width="25.75" style="14"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6" width="7.12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SO2</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IF($B$5=0,"",IF(INDEX(AK$1:AK$93,$B$5)="","",IF(AND(OR($AI5="",INGVAN="",$AI5&lt;=INGVAN),OR($AI5="",INGTOT="",$AI5&lt;=INGTOT)),1,0)))</f>
        <v/>
      </c>
      <c r="AL1" s="184" t="str">
        <f ca="1">IF($B$5=0,"",IF(INDEX(AK$1:AK$93,$B$5)="","",IF(AND(OR($AJ5="",INGVAN="",$AJ5&gt;=INGVAN),OR($AJ5="",INGTOT="",$AJ5&gt;=INGTOT)),1,0)))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126</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SO2</v>
      </c>
      <c r="AG3" s="129" t="s">
        <v>165</v>
      </c>
      <c r="AH3" s="633" t="s">
        <v>356</v>
      </c>
      <c r="AI3" s="642" t="s">
        <v>358</v>
      </c>
      <c r="AJ3" s="282" t="s">
        <v>359</v>
      </c>
      <c r="AK3" s="624" t="s">
        <v>251</v>
      </c>
      <c r="AL3" s="130" t="s">
        <v>183</v>
      </c>
      <c r="AM3" s="652" t="s">
        <v>209</v>
      </c>
      <c r="AN3" s="850" t="s">
        <v>534</v>
      </c>
      <c r="AO3" s="127"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IF(AND(AF5="",AF6=""),"",CONCATENATE(ROUND((100-IF(AF6="",0,ABRAND2))/100*IF(AF5="",0,AF5*(21-AG4)/(21-AG5))+IF(AF5="",100,ABRAND2)/100*IF(AF6="",0,AF6*(21-AG4)/(21-AG6)),0)," ",IF(A2="","",A2)," bij ",AG4," vol% O₂"))</f>
        <v/>
      </c>
      <c r="AG4" s="208">
        <f ca="1">NOx!AG4</f>
        <v>3</v>
      </c>
      <c r="AH4" s="634" t="str">
        <f ca="1">IF($C$6=0,AH5,IF($B$5=0,AH6,IF($B$5&lt;$C$6,AH5,AH6)))</f>
        <v/>
      </c>
      <c r="AI4" s="660"/>
      <c r="AJ4" s="208"/>
      <c r="AK4" s="697"/>
      <c r="AL4" s="208"/>
      <c r="AM4" s="634" t="str">
        <f ca="1">IF($C$6=0,AM5,IF($B$5=0,AM6,IF($B$5&lt;$C$6,AM5,AM6)))</f>
        <v/>
      </c>
      <c r="AN4" s="830"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49" t="str">
        <f t="shared" ref="AO4:AS4" ca="1" si="7">IF($C$6=0,AO5,IF($B$5=0,AO6,IF($B$5&lt;$C$6,AO5,AO6)))</f>
        <v/>
      </c>
      <c r="AP4" s="210" t="str">
        <f t="shared" ca="1" si="7"/>
        <v/>
      </c>
      <c r="AQ4" s="210" t="str">
        <f t="shared" ca="1" si="7"/>
        <v/>
      </c>
      <c r="AR4" s="211" t="str">
        <f t="shared" ca="1" si="7"/>
        <v/>
      </c>
      <c r="AS4" s="210" t="str">
        <f t="shared" ca="1" si="7"/>
        <v/>
      </c>
      <c r="AT4" s="210" t="str">
        <f t="shared" ref="AT4" ca="1" si="8">IF($C$6=0,AT5,IF($B$5=0,AT6,IF($B$5&lt;$C$6,AT5,AT6)))</f>
        <v/>
      </c>
      <c r="AU4" s="212"/>
      <c r="AV4" s="212"/>
      <c r="AW4" s="212"/>
      <c r="AX4" s="213" t="str">
        <f ca="1">AW2</f>
        <v/>
      </c>
    </row>
    <row r="5" spans="1:50" x14ac:dyDescent="0.2">
      <c r="A5" s="181" t="s">
        <v>29</v>
      </c>
      <c r="B5" s="192">
        <f ca="1">IF(Geldig,MAX(B8:B93),0)</f>
        <v>38</v>
      </c>
      <c r="C5" s="195"/>
      <c r="D5" s="192">
        <f t="shared" ref="D5:AF5" ca="1" si="9">IF($B$5=0,"",IF(INDEX(D$1:D$93,$B$5)="","",INDEX(D$1:D$93,$B$5)))</f>
        <v>1</v>
      </c>
      <c r="E5" s="193">
        <f t="shared" ca="1" si="9"/>
        <v>1</v>
      </c>
      <c r="F5" s="193">
        <f t="shared" ca="1" si="9"/>
        <v>1</v>
      </c>
      <c r="G5" s="193">
        <f t="shared" ca="1" si="9"/>
        <v>1</v>
      </c>
      <c r="H5" s="193" t="str">
        <f t="shared" ca="1" si="9"/>
        <v/>
      </c>
      <c r="I5" s="194" t="str">
        <f t="shared" ca="1" si="9"/>
        <v/>
      </c>
      <c r="J5" s="193" t="str">
        <f t="shared" ca="1" si="9"/>
        <v/>
      </c>
      <c r="K5" s="194" t="str">
        <f t="shared" ca="1" si="9"/>
        <v/>
      </c>
      <c r="L5" s="193">
        <f t="shared" ca="1" si="9"/>
        <v>1</v>
      </c>
      <c r="M5" s="194">
        <f t="shared" ca="1" si="9"/>
        <v>1</v>
      </c>
      <c r="N5" s="194">
        <f t="shared" ca="1" si="9"/>
        <v>0</v>
      </c>
      <c r="O5" s="195">
        <f t="shared" ca="1" si="9"/>
        <v>0</v>
      </c>
      <c r="P5" s="187" t="str">
        <f t="shared" ca="1" si="9"/>
        <v>4.126</v>
      </c>
      <c r="Q5" s="214" t="str">
        <f t="shared" ca="1" si="9"/>
        <v>ketel</v>
      </c>
      <c r="R5" s="214" t="str">
        <f t="shared" ca="1" si="9"/>
        <v>aardgas</v>
      </c>
      <c r="S5" s="214">
        <f t="shared" ca="1" si="9"/>
        <v>0.40010000000000001</v>
      </c>
      <c r="T5" s="214" t="str">
        <f t="shared" ca="1" si="9"/>
        <v/>
      </c>
      <c r="U5" s="214" t="str">
        <f t="shared" ca="1" si="9"/>
        <v/>
      </c>
      <c r="V5" s="215" t="str">
        <f t="shared" ca="1" si="9"/>
        <v/>
      </c>
      <c r="W5" s="215" t="str">
        <f t="shared" ca="1" si="9"/>
        <v/>
      </c>
      <c r="X5" s="215" t="str">
        <f t="shared" ca="1" si="9"/>
        <v/>
      </c>
      <c r="Y5" s="216" t="str">
        <f t="shared" ca="1" si="9"/>
        <v/>
      </c>
      <c r="Z5" s="217" t="str">
        <f t="shared" ca="1" si="9"/>
        <v/>
      </c>
      <c r="AA5" s="218" t="str">
        <f t="shared" ca="1" si="9"/>
        <v/>
      </c>
      <c r="AB5" s="217" t="str">
        <f t="shared" ca="1" si="9"/>
        <v/>
      </c>
      <c r="AC5" s="219" t="str">
        <f t="shared" ca="1" si="9"/>
        <v/>
      </c>
      <c r="AD5" s="220" t="str">
        <f t="shared" ca="1" si="9"/>
        <v/>
      </c>
      <c r="AE5" s="221" t="str">
        <f t="shared" ca="1" si="9"/>
        <v>4.1303</v>
      </c>
      <c r="AF5" s="222" t="str">
        <f t="shared" ca="1" si="9"/>
        <v/>
      </c>
      <c r="AG5" s="223">
        <f ca="1">IF($B$5=0,"",IF(INDEX(AG$1:AG$93,$B$5)="",O2BRAND1,INDEX(AG$1:AG$93,$B$5)))</f>
        <v>3</v>
      </c>
      <c r="AH5" s="225" t="str">
        <f ca="1">IF($B$5=0,"",IF(INDEX(AH$1:AH$93,$B$5)="","",INDEX(AH$1:AH$93,$B$5)))</f>
        <v/>
      </c>
      <c r="AI5" s="661" t="str">
        <f ca="1">IF($B$5=0,"",IF(INDEX(AI$1:AI$93,$B$5)="","",INDEX(AI$1:AI$93,$B$5)))</f>
        <v/>
      </c>
      <c r="AJ5" s="218" t="str">
        <f ca="1">IF($B$5=0,"",IF(INDEX(AJ$1:AJ$93,$B$5)="","",INDEX(AJ$1:AJ$93,$B$5)))</f>
        <v/>
      </c>
      <c r="AK5" s="651" t="str">
        <f ca="1">IF($B$5=0,"",IF(INDEX(AK$1:AK$93,$B$5)="","",IF(AND(OR($AI5="",INGVAN="",$AI5&lt;=INGVAN),OR($AI5="",INGTOT="",$AI5&lt;=INGTOT),OR($AJ5="",INGVAN="",$AJ5&gt;=INGVAN),OR($AJ5="",INGTOT="",$AJ5&gt;=INGTOT)),INDEX(AK$1:AK$93,$B$5),"")))</f>
        <v/>
      </c>
      <c r="AL5" s="223" t="str">
        <f ca="1">IF($B$5=0,"",IF(INDEX(AL$1:AL$93,$B$5)="","",IF(AND(OR($AI5="",INGVAN="",$AI5&lt;=INGVAN),OR($AI5="",INGTOT="",$AI5&lt;=INGTOT),OR($AJ5="",INGVAN="",$AJ5&gt;=INGVAN),OR($AJ5="",INGTOT="",$AJ5&gt;=INGTOT)),INDEX(AL$1:AL$93,$B$5),"")))</f>
        <v/>
      </c>
      <c r="AM5" s="224" t="str">
        <f ca="1">IF($B$5=0,"",IF(INDEX(AM$1:AM$93,$B$5)="","",IF(AND(OR($AI5="",INGVAN="",$AI5&lt;=INGVAN),OR($AI5="",INGTOT="",$AI5&lt;=INGTOT),OR($AJ5="",INGVAN="",$AJ5&gt;=INGVAN),OR($AJ5="",INGTOT="",$AJ5&gt;=INGTOT)),INDEX(AM$1:AM$93,$B$5),"")))</f>
        <v/>
      </c>
      <c r="AN5" s="831"/>
      <c r="AO5" s="227" t="str">
        <f t="shared" ref="AO5:AW5" ca="1" si="10">IF($B$5=0,"",IF(INDEX(AO$1:AO$93,$B$5)="","",INDEX(AO$1:AO$93,$B$5)))</f>
        <v/>
      </c>
      <c r="AP5" s="227" t="str">
        <f t="shared" ca="1" si="10"/>
        <v/>
      </c>
      <c r="AQ5" s="227" t="str">
        <f t="shared" ca="1" si="10"/>
        <v/>
      </c>
      <c r="AR5" s="227" t="str">
        <f t="shared" ca="1" si="10"/>
        <v/>
      </c>
      <c r="AS5" s="227" t="str">
        <f t="shared" ca="1" si="10"/>
        <v/>
      </c>
      <c r="AT5" s="227" t="str">
        <f t="shared" ca="1" si="10"/>
        <v/>
      </c>
      <c r="AU5" s="227" t="str">
        <f t="shared" ca="1" si="10"/>
        <v/>
      </c>
      <c r="AV5" s="227" t="str">
        <f t="shared" ca="1" si="10"/>
        <v/>
      </c>
      <c r="AW5" s="227" t="str">
        <f t="shared" ca="1" si="10"/>
        <v/>
      </c>
      <c r="AX5" s="228"/>
    </row>
    <row r="6" spans="1:50" ht="12" thickBot="1" x14ac:dyDescent="0.25">
      <c r="A6" s="182" t="s">
        <v>30</v>
      </c>
      <c r="B6" s="190"/>
      <c r="C6" s="191">
        <f ca="1">MAX(C8:C93)</f>
        <v>0</v>
      </c>
      <c r="D6" s="196" t="str">
        <f t="shared" ref="D6:AF6" ca="1" si="11">IF($C$6=0,"",IF(INDEX(D$1:D$93,$C$6)="","",INDEX(D$1:D$93,$C$6)))</f>
        <v/>
      </c>
      <c r="E6" s="196" t="str">
        <f t="shared" ca="1" si="11"/>
        <v/>
      </c>
      <c r="F6" s="196" t="str">
        <f t="shared" ca="1" si="11"/>
        <v/>
      </c>
      <c r="G6" s="196" t="str">
        <f t="shared" ca="1" si="11"/>
        <v/>
      </c>
      <c r="H6" s="196" t="str">
        <f t="shared" ca="1" si="11"/>
        <v/>
      </c>
      <c r="I6" s="197" t="str">
        <f t="shared" ca="1" si="11"/>
        <v/>
      </c>
      <c r="J6" s="196" t="str">
        <f t="shared" ca="1" si="11"/>
        <v/>
      </c>
      <c r="K6" s="197" t="str">
        <f t="shared" ca="1" si="11"/>
        <v/>
      </c>
      <c r="L6" s="196" t="str">
        <f t="shared" ca="1" si="11"/>
        <v/>
      </c>
      <c r="M6" s="197" t="str">
        <f t="shared" ca="1" si="11"/>
        <v/>
      </c>
      <c r="N6" s="197" t="str">
        <f t="shared" ca="1" si="11"/>
        <v/>
      </c>
      <c r="O6" s="197" t="str">
        <f t="shared" ca="1" si="11"/>
        <v/>
      </c>
      <c r="P6" s="229" t="str">
        <f t="shared" ca="1" si="11"/>
        <v/>
      </c>
      <c r="Q6" s="230" t="str">
        <f t="shared" ca="1" si="11"/>
        <v/>
      </c>
      <c r="R6" s="230" t="str">
        <f t="shared" ca="1" si="11"/>
        <v/>
      </c>
      <c r="S6" s="230" t="str">
        <f t="shared" ca="1" si="11"/>
        <v/>
      </c>
      <c r="T6" s="230" t="str">
        <f t="shared" ca="1" si="11"/>
        <v/>
      </c>
      <c r="U6" s="230" t="str">
        <f t="shared" ca="1" si="11"/>
        <v/>
      </c>
      <c r="V6" s="231" t="str">
        <f t="shared" ca="1" si="11"/>
        <v/>
      </c>
      <c r="W6" s="231" t="str">
        <f t="shared" ca="1" si="11"/>
        <v/>
      </c>
      <c r="X6" s="231" t="str">
        <f t="shared" ca="1" si="11"/>
        <v/>
      </c>
      <c r="Y6" s="232" t="str">
        <f t="shared" ca="1" si="11"/>
        <v/>
      </c>
      <c r="Z6" s="233" t="str">
        <f t="shared" ca="1" si="11"/>
        <v/>
      </c>
      <c r="AA6" s="234" t="str">
        <f t="shared" ca="1" si="11"/>
        <v/>
      </c>
      <c r="AB6" s="233" t="str">
        <f t="shared" ca="1" si="11"/>
        <v/>
      </c>
      <c r="AC6" s="235" t="str">
        <f t="shared" ca="1" si="11"/>
        <v/>
      </c>
      <c r="AD6" s="236" t="str">
        <f t="shared" ca="1" si="11"/>
        <v/>
      </c>
      <c r="AE6" s="237" t="str">
        <f t="shared" ca="1" si="11"/>
        <v/>
      </c>
      <c r="AF6" s="196" t="str">
        <f t="shared" ca="1" si="11"/>
        <v/>
      </c>
      <c r="AG6" s="238" t="str">
        <f ca="1">IF($C$6=0,"",IF(INDEX(AG$1:AG$93,$C$6)="",O2BRAND2,INDEX(AG$1:AG$93,$C$6)))</f>
        <v/>
      </c>
      <c r="AH6" s="239" t="str">
        <f ca="1">IF($C$6=0,"",IF(INDEX(AH$1:AH$93,$C$6)="","",INDEX(AH$1:AH$93,$C$6)))</f>
        <v/>
      </c>
      <c r="AI6" s="662" t="str">
        <f ca="1">IF($C$6=0,"",IF(INDEX(AI$1:AI$93,$C$6)="","",INDEX(AI$1:AI$93,$C$6)))</f>
        <v/>
      </c>
      <c r="AJ6" s="234" t="str">
        <f ca="1">IF($C$6=0,"",IF(INDEX(AJ$1:AJ$93,$C$6)="","",INDEX(AJ$1:AJ$93,$C$6)))</f>
        <v/>
      </c>
      <c r="AK6" s="672" t="str">
        <f ca="1">IF($C$6=0,"",IF(INDEX(AK$1:AK$93,$C$6)="","",IF(AND(OR($AI6="",INGVAN="",$AI6&lt;=INGVAN),OR($AI6="",INGTOT="",$AI6&lt;=INGTOT),OR($AJ6="",INGVAN="",$AJ6&gt;=INGVAN),OR($AJ6="",INGTOT="",$AJ6&gt;=INGTOT)),INDEX(AK$1:AK$93,$C$6),"")))</f>
        <v/>
      </c>
      <c r="AL6" s="238" t="str">
        <f ca="1">IF($C$6=0,"",IF(INDEX(AL$1:AL$93,$C$6)="","",IF(AND(OR($AI6="",INGVAN="",$AI6&lt;=INGVAN),OR($AI6="",INGTOT="",$AI6&lt;=INGTOT),OR($AJ6="",INGVAN="",$AJ6&gt;=INGVAN),OR($AJ6="",INGTOT="",$AJ6&gt;=INGTOT)),INDEX(AL$1:AL$93,$C$6),"")))</f>
        <v/>
      </c>
      <c r="AM6" s="673" t="str">
        <f ca="1">IF($C$6=0,"",IF(INDEX(AM$1:AM$93,$C$6)="","",IF(AND(OR($AI6="",INGVAN="",$AI6&lt;=INGVAN),OR($AI6="",INGTOT="",$AI6&lt;=INGTOT),OR($AJ6="",INGVAN="",$AJ6&gt;=INGVAN),OR($AJ6="",INGTOT="",$AJ6&gt;=INGTOT)),INDEX(AM$1:AM$93,$C$6),"")))</f>
        <v/>
      </c>
      <c r="AN6" s="832"/>
      <c r="AO6" s="241" t="str">
        <f t="shared" ref="AO6:AW6" ca="1" si="12">IF($C$6=0,"",IF(INDEX(AO$1:AO$93,$C$6)="","",INDEX(AO$1:AO$93,$C$6)))</f>
        <v/>
      </c>
      <c r="AP6" s="241" t="str">
        <f t="shared" ca="1" si="12"/>
        <v/>
      </c>
      <c r="AQ6" s="241" t="str">
        <f t="shared" ca="1" si="12"/>
        <v/>
      </c>
      <c r="AR6" s="241" t="str">
        <f t="shared" ca="1" si="12"/>
        <v/>
      </c>
      <c r="AS6" s="241" t="str">
        <f t="shared" ca="1" si="12"/>
        <v/>
      </c>
      <c r="AT6" s="241" t="str">
        <f t="shared" ca="1" si="12"/>
        <v/>
      </c>
      <c r="AU6" s="241" t="str">
        <f t="shared" ca="1" si="12"/>
        <v/>
      </c>
      <c r="AV6" s="241" t="str">
        <f t="shared" ca="1" si="12"/>
        <v/>
      </c>
      <c r="AW6" s="241" t="str">
        <f t="shared" ca="1" si="12"/>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833"/>
      <c r="AO7" s="323" t="s">
        <v>243</v>
      </c>
      <c r="AP7" s="323" t="s">
        <v>470</v>
      </c>
      <c r="AQ7" s="323" t="s">
        <v>364</v>
      </c>
      <c r="AR7" s="323" t="s">
        <v>365</v>
      </c>
      <c r="AS7" s="323"/>
      <c r="AT7" s="320"/>
      <c r="AU7" s="321"/>
      <c r="AV7" s="321"/>
      <c r="AW7" s="321"/>
      <c r="AX7" s="319"/>
    </row>
    <row r="8" spans="1:50" x14ac:dyDescent="0.2">
      <c r="A8" s="295"/>
      <c r="B8" s="339">
        <f t="shared" ref="B8:B13" ca="1" si="13">IF(AND(SUM(D8:K8,L8:M8)=COUNT(D8:K8,L8:M8),COUNT(D8:K8,L8:M8)&gt;0),ROW(B8),0)</f>
        <v>0</v>
      </c>
      <c r="C8" s="249">
        <f t="shared" ref="C8:C13" ca="1" si="14">IF(AND(SUM(D8:K8,N8:O8)=COUNT(D8:K8,N8:O8),COUNT(D8:K8,N8:O8)&gt;0),ROW(B8),0)</f>
        <v>0</v>
      </c>
      <c r="D8" s="246">
        <f ca="1">IF(AND(OR($Z8="",INGVAN="",$Z8&lt;=INGVAN),OR($Z8="",INGTOT="",$Z8&lt;=INGTOT),OR($AA8="",INGVAN="",$AA8&gt;=INGVAN),OR($AA8="",INGTOT="",$AA8&gt;=INGTOT)),1,0)</f>
        <v>1</v>
      </c>
      <c r="E8" s="247">
        <f t="shared" ref="E8:E25" ca="1" si="15">IF(AND(OR($AB8="",Tdatum&gt;=$AB8,AND(AB8&lt;&gt;"",ISNUMBER(FIND("j",LOWER(AD8))))),OR($AC8="",Tdatum&lt;=$AC8)),1,0)</f>
        <v>1</v>
      </c>
      <c r="F8" s="247">
        <f t="shared" ref="F8:F87" ca="1" si="16">IF(AND(OR($S8="",MW&gt;=$S8),OR($T8="",$T8&gt;MW)),1,0)</f>
        <v>1</v>
      </c>
      <c r="G8" s="147">
        <f ca="1">IF(Afvalvernietiging,1,0)</f>
        <v>0</v>
      </c>
      <c r="H8" s="147"/>
      <c r="I8" s="147"/>
      <c r="J8" s="147"/>
      <c r="K8" s="148"/>
      <c r="L8" s="147">
        <f ca="1">IF(OR(TBRAND1=3,AND(G8=1,N8=0)),1,0)</f>
        <v>0</v>
      </c>
      <c r="M8" s="248">
        <f t="shared" ref="M8" ca="1" si="17">IF(AND(ParBAL1&lt;&gt;"",ParBAL1=P8),1,0)</f>
        <v>0</v>
      </c>
      <c r="N8" s="147">
        <f ca="1">IF(TBRAND2=3,1,0)</f>
        <v>0</v>
      </c>
      <c r="O8" s="249">
        <f t="shared" ref="O8" ca="1" si="18">IF(AND(ParBAL2&lt;&gt;"",ParBAL2=P8),1,0)</f>
        <v>0</v>
      </c>
      <c r="P8" s="279" t="s">
        <v>39</v>
      </c>
      <c r="Q8" s="149" t="s">
        <v>48</v>
      </c>
      <c r="R8" s="149" t="s">
        <v>265</v>
      </c>
      <c r="S8" s="149"/>
      <c r="T8" s="149"/>
      <c r="U8" s="150"/>
      <c r="V8" s="150"/>
      <c r="W8" s="150"/>
      <c r="X8" s="150"/>
      <c r="Y8" s="151"/>
      <c r="Z8" s="143"/>
      <c r="AA8" s="144"/>
      <c r="AB8" s="143"/>
      <c r="AC8" s="145"/>
      <c r="AD8" s="146"/>
      <c r="AE8" s="276" t="s">
        <v>121</v>
      </c>
      <c r="AF8" s="152" t="s">
        <v>366</v>
      </c>
      <c r="AG8" s="147"/>
      <c r="AH8" s="636"/>
      <c r="AI8" s="645"/>
      <c r="AJ8" s="269"/>
      <c r="AK8" s="626"/>
      <c r="AL8" s="147"/>
      <c r="AM8" s="655"/>
      <c r="AN8" s="834"/>
      <c r="AO8" s="325" t="str">
        <f>AO$7</f>
        <v xml:space="preserve">Er geldt een continue meetverplichting (art 4.79). </v>
      </c>
      <c r="AP8" s="325" t="str">
        <f t="shared" ref="AP8:AR13" si="19">AP$7</f>
        <v>De kwaliteitsborging van het continue meetsysteem vindt plaats volgen NEN-EN 14181 (art. 4.78). Onder de voorwaarden van art. 4.81 4e lid zijn halfjaarlijkse (of geen) periodieke metingen door een geaccrediteerd laboratorium volgens NEN-EN 14791 toegestaan (art. 4.78 en 4.84).</v>
      </c>
      <c r="AQ8" s="325" t="str">
        <f t="shared" si="19"/>
        <v>De aangetoonde meetonzekerheid mag niet groter zijn dan 20% van de emissie-eis of 10 mg/Nm3 (art. 4.88).</v>
      </c>
      <c r="AR8" s="325" t="str">
        <f t="shared" si="19"/>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8" s="325"/>
      <c r="AT8" s="149"/>
      <c r="AU8" s="150"/>
      <c r="AV8" s="150"/>
      <c r="AW8" s="150"/>
      <c r="AX8" s="151"/>
    </row>
    <row r="9" spans="1:50" x14ac:dyDescent="0.2">
      <c r="A9" s="295"/>
      <c r="B9" s="339">
        <f t="shared" ca="1" si="13"/>
        <v>0</v>
      </c>
      <c r="C9" s="249">
        <f t="shared" ca="1" si="14"/>
        <v>0</v>
      </c>
      <c r="D9" s="246">
        <f ca="1">IF(AND(OR($Z9="",INGVAN="",$Z9&lt;=INGVAN),OR($Z9="",INGTOT="",$Z9&lt;=INGTOT),OR($AA9="",INGVAN="",$AA9&gt;=INGVAN),OR($AA9="",INGTOT="",$AA9&gt;=INGTOT)),1,0)</f>
        <v>1</v>
      </c>
      <c r="E9" s="247">
        <f t="shared" ca="1" si="15"/>
        <v>1</v>
      </c>
      <c r="F9" s="247">
        <f t="shared" ca="1" si="16"/>
        <v>1</v>
      </c>
      <c r="G9" s="147">
        <f ca="1">IF(EnergieUitAfval,1,0)</f>
        <v>0</v>
      </c>
      <c r="H9" s="147"/>
      <c r="I9" s="147"/>
      <c r="J9" s="147"/>
      <c r="K9" s="148"/>
      <c r="L9" s="147">
        <f ca="1">IF(TBRAND1=3,1,0)</f>
        <v>0</v>
      </c>
      <c r="M9" s="248">
        <f t="shared" ref="M9:M25" ca="1" si="20">IF(AND(ParBAL1&lt;&gt;"",ParBAL1=P9),1,0)</f>
        <v>0</v>
      </c>
      <c r="N9" s="147">
        <f ca="1">IF(TBRAND2=3,1,0)</f>
        <v>0</v>
      </c>
      <c r="O9" s="249">
        <f t="shared" ref="O9:O25" ca="1" si="21">IF(AND(ParBAL2&lt;&gt;"",ParBAL2=P9),1,0)</f>
        <v>0</v>
      </c>
      <c r="P9" s="279" t="s">
        <v>39</v>
      </c>
      <c r="Q9" s="149" t="s">
        <v>266</v>
      </c>
      <c r="R9" s="149" t="s">
        <v>46</v>
      </c>
      <c r="S9" s="149"/>
      <c r="T9" s="149"/>
      <c r="U9" s="150"/>
      <c r="V9" s="150"/>
      <c r="W9" s="150"/>
      <c r="X9" s="150"/>
      <c r="Y9" s="151"/>
      <c r="Z9" s="143"/>
      <c r="AA9" s="144"/>
      <c r="AB9" s="143"/>
      <c r="AC9" s="145"/>
      <c r="AD9" s="146"/>
      <c r="AE9" s="276" t="s">
        <v>121</v>
      </c>
      <c r="AF9" s="152" t="s">
        <v>366</v>
      </c>
      <c r="AG9" s="147"/>
      <c r="AH9" s="636"/>
      <c r="AI9" s="645"/>
      <c r="AJ9" s="269"/>
      <c r="AK9" s="626"/>
      <c r="AL9" s="147"/>
      <c r="AM9" s="655"/>
      <c r="AN9" s="834"/>
      <c r="AO9" s="325" t="str">
        <f t="shared" ref="AO9:AO13" si="22">AO$7</f>
        <v xml:space="preserve">Er geldt een continue meetverplichting (art 4.79). </v>
      </c>
      <c r="AP9" s="325" t="str">
        <f t="shared" si="19"/>
        <v>De kwaliteitsborging van het continue meetsysteem vindt plaats volgen NEN-EN 14181 (art. 4.78). Onder de voorwaarden van art. 4.81 4e lid zijn halfjaarlijkse (of geen) periodieke metingen door een geaccrediteerd laboratorium volgens NEN-EN 14791 toegestaan (art. 4.78 en 4.84).</v>
      </c>
      <c r="AQ9" s="325" t="str">
        <f t="shared" si="19"/>
        <v>De aangetoonde meetonzekerheid mag niet groter zijn dan 20% van de emissie-eis of 10 mg/Nm3 (art. 4.88).</v>
      </c>
      <c r="AR9" s="325" t="s">
        <v>451</v>
      </c>
      <c r="AS9" s="325"/>
      <c r="AT9" s="155"/>
      <c r="AU9" s="157"/>
      <c r="AV9" s="157"/>
      <c r="AW9" s="157"/>
      <c r="AX9" s="158"/>
    </row>
    <row r="10" spans="1:50" x14ac:dyDescent="0.2">
      <c r="A10" s="295"/>
      <c r="B10" s="339">
        <f t="shared" ca="1" si="13"/>
        <v>0</v>
      </c>
      <c r="C10" s="249">
        <f t="shared" ca="1" si="14"/>
        <v>0</v>
      </c>
      <c r="D10" s="246">
        <f ca="1">IF(AND(OR($Z10="",INGVAN="",$Z10&lt;=INGVAN),OR($Z10="",INGTOT="",$Z10&lt;=INGTOT),OR($AA10="",INGVAN="",$AA10&gt;=INGVAN),OR($AA10="",INGTOT="",$AA10&gt;=INGTOT)),1,0)</f>
        <v>1</v>
      </c>
      <c r="E10" s="247">
        <f t="shared" ca="1" si="15"/>
        <v>1</v>
      </c>
      <c r="F10" s="247">
        <f t="shared" ca="1" si="16"/>
        <v>1</v>
      </c>
      <c r="G10" s="147">
        <f ca="1">IF(SI=17,1,0)</f>
        <v>0</v>
      </c>
      <c r="H10" s="148"/>
      <c r="I10" s="147"/>
      <c r="J10" s="159"/>
      <c r="K10" s="148"/>
      <c r="L10" s="147">
        <f ca="1">IF(TBRAND1=3,1,0)</f>
        <v>0</v>
      </c>
      <c r="M10" s="248">
        <f t="shared" ca="1" si="20"/>
        <v>0</v>
      </c>
      <c r="N10" s="147">
        <f ca="1">IF(TBRAND2=3,1,0)</f>
        <v>0</v>
      </c>
      <c r="O10" s="249">
        <f t="shared" ca="1" si="21"/>
        <v>0</v>
      </c>
      <c r="P10" s="279" t="s">
        <v>39</v>
      </c>
      <c r="Q10" s="160" t="s">
        <v>128</v>
      </c>
      <c r="R10" s="149"/>
      <c r="S10" s="149"/>
      <c r="T10" s="149"/>
      <c r="U10" s="150"/>
      <c r="V10" s="150"/>
      <c r="W10" s="150"/>
      <c r="X10" s="150"/>
      <c r="Y10" s="151"/>
      <c r="Z10" s="143"/>
      <c r="AA10" s="144"/>
      <c r="AB10" s="143"/>
      <c r="AC10" s="145"/>
      <c r="AD10" s="146"/>
      <c r="AE10" s="276" t="s">
        <v>130</v>
      </c>
      <c r="AF10" s="152" t="s">
        <v>160</v>
      </c>
      <c r="AG10" s="147"/>
      <c r="AH10" s="636"/>
      <c r="AI10" s="645"/>
      <c r="AJ10" s="269"/>
      <c r="AK10" s="626"/>
      <c r="AL10" s="147"/>
      <c r="AM10" s="655"/>
      <c r="AN10" s="834"/>
      <c r="AO10" s="325" t="str">
        <f t="shared" si="22"/>
        <v xml:space="preserve">Er geldt een continue meetverplichting (art 4.79). </v>
      </c>
      <c r="AP10" s="325" t="str">
        <f t="shared" si="19"/>
        <v>De kwaliteitsborging van het continue meetsysteem vindt plaats volgen NEN-EN 14181 (art. 4.78). Onder de voorwaarden van art. 4.81 4e lid zijn halfjaarlijkse (of geen) periodieke metingen door een geaccrediteerd laboratorium volgens NEN-EN 14791 toegestaan (art. 4.78 en 4.84).</v>
      </c>
      <c r="AQ10" s="325" t="str">
        <f t="shared" si="19"/>
        <v>De aangetoonde meetonzekerheid mag niet groter zijn dan 20% van de emissie-eis of 10 mg/Nm3 (art. 4.88).</v>
      </c>
      <c r="AR10" s="325" t="str">
        <f t="shared" si="19"/>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10" s="325"/>
      <c r="AT10" s="155"/>
      <c r="AU10" s="157"/>
      <c r="AV10" s="157"/>
      <c r="AW10" s="157"/>
      <c r="AX10" s="151"/>
    </row>
    <row r="11" spans="1:50" x14ac:dyDescent="0.2">
      <c r="A11" s="295"/>
      <c r="B11" s="340"/>
      <c r="C11" s="341"/>
      <c r="D11" s="326"/>
      <c r="E11" s="46"/>
      <c r="F11" s="46"/>
      <c r="G11" s="147"/>
      <c r="H11" s="147"/>
      <c r="I11" s="148"/>
      <c r="J11" s="147"/>
      <c r="K11" s="148"/>
      <c r="L11" s="147"/>
      <c r="M11" s="56"/>
      <c r="N11" s="147"/>
      <c r="O11" s="59"/>
      <c r="P11" s="279"/>
      <c r="Q11" s="160"/>
      <c r="R11" s="149"/>
      <c r="S11" s="149"/>
      <c r="T11" s="149"/>
      <c r="U11" s="150"/>
      <c r="V11" s="150"/>
      <c r="W11" s="150"/>
      <c r="X11" s="150"/>
      <c r="Y11" s="151"/>
      <c r="Z11" s="143"/>
      <c r="AA11" s="144"/>
      <c r="AB11" s="143"/>
      <c r="AC11" s="145"/>
      <c r="AD11" s="146"/>
      <c r="AE11" s="276"/>
      <c r="AF11" s="152"/>
      <c r="AG11" s="147"/>
      <c r="AH11" s="636"/>
      <c r="AI11" s="645"/>
      <c r="AJ11" s="269"/>
      <c r="AK11" s="626"/>
      <c r="AL11" s="147"/>
      <c r="AM11" s="655"/>
      <c r="AN11" s="835"/>
      <c r="AO11" s="155"/>
      <c r="AP11" s="684"/>
      <c r="AQ11" s="155"/>
      <c r="AR11" s="155"/>
      <c r="AS11" s="149"/>
      <c r="AT11" s="155"/>
      <c r="AU11" s="157"/>
      <c r="AV11" s="157"/>
      <c r="AW11" s="157"/>
      <c r="AX11" s="151"/>
    </row>
    <row r="12" spans="1:50" x14ac:dyDescent="0.2">
      <c r="A12" s="363" t="s">
        <v>337</v>
      </c>
      <c r="B12" s="364"/>
      <c r="C12" s="365"/>
      <c r="D12" s="366"/>
      <c r="E12" s="367"/>
      <c r="F12" s="367"/>
      <c r="G12" s="368"/>
      <c r="H12" s="368"/>
      <c r="I12" s="369"/>
      <c r="J12" s="368"/>
      <c r="K12" s="369"/>
      <c r="L12" s="368"/>
      <c r="M12" s="370"/>
      <c r="N12" s="368"/>
      <c r="O12" s="371"/>
      <c r="P12" s="372"/>
      <c r="Q12" s="373"/>
      <c r="R12" s="374"/>
      <c r="S12" s="374"/>
      <c r="T12" s="374"/>
      <c r="U12" s="375"/>
      <c r="V12" s="375"/>
      <c r="W12" s="375"/>
      <c r="X12" s="375"/>
      <c r="Y12" s="376"/>
      <c r="Z12" s="377"/>
      <c r="AA12" s="378"/>
      <c r="AB12" s="377"/>
      <c r="AC12" s="379"/>
      <c r="AD12" s="380"/>
      <c r="AE12" s="381"/>
      <c r="AF12" s="382"/>
      <c r="AG12" s="368"/>
      <c r="AH12" s="637"/>
      <c r="AI12" s="646"/>
      <c r="AJ12" s="383"/>
      <c r="AK12" s="627"/>
      <c r="AL12" s="368"/>
      <c r="AM12" s="656"/>
      <c r="AN12" s="836"/>
      <c r="AO12" s="346" t="s">
        <v>245</v>
      </c>
      <c r="AP12" s="333" t="s">
        <v>470</v>
      </c>
      <c r="AQ12" s="346" t="s">
        <v>191</v>
      </c>
      <c r="AR12" s="346" t="s">
        <v>212</v>
      </c>
      <c r="AS12" s="346"/>
      <c r="AT12" s="336"/>
      <c r="AU12" s="337"/>
      <c r="AV12" s="337"/>
      <c r="AW12" s="337"/>
      <c r="AX12" s="335"/>
    </row>
    <row r="13" spans="1:50" x14ac:dyDescent="0.2">
      <c r="A13" s="296"/>
      <c r="B13" s="339">
        <f t="shared" ca="1" si="13"/>
        <v>0</v>
      </c>
      <c r="C13" s="249">
        <f t="shared" ca="1" si="14"/>
        <v>0</v>
      </c>
      <c r="D13" s="246">
        <f ca="1">IF(AND(OR($Z13="",INGVAN="",$Z13&lt;=INGVAN),OR($Z13="",INGTOT="",$Z13&lt;=INGTOT),OR($AA13="",INGVAN="",$AA13&gt;=INGVAN),OR($AA13="",INGTOT="",$AA13&gt;=INGTOT)),1,0)</f>
        <v>1</v>
      </c>
      <c r="E13" s="247">
        <f t="shared" ca="1" si="15"/>
        <v>0</v>
      </c>
      <c r="F13" s="247">
        <f t="shared" ca="1" si="16"/>
        <v>1</v>
      </c>
      <c r="G13" s="147">
        <f ca="1">IF(AND(SI&lt;&gt;17,OR(ParBAL1="4.4",ParBAL2="4.4")),1,0)</f>
        <v>0</v>
      </c>
      <c r="H13" s="147"/>
      <c r="I13" s="148"/>
      <c r="J13" s="147"/>
      <c r="K13" s="148"/>
      <c r="L13" s="147">
        <f ca="1">IF(OR(TBRAND1=3,AND(G13=1,N13=0)),1,0)</f>
        <v>0</v>
      </c>
      <c r="M13" s="248">
        <f t="shared" ref="M13" ca="1" si="23">IF(AND(ParBAL1&lt;&gt;"",ParBAL1=P13),1,0)</f>
        <v>0</v>
      </c>
      <c r="N13" s="147">
        <f ca="1">IF(TBRAND2=3,1,0)</f>
        <v>0</v>
      </c>
      <c r="O13" s="249">
        <f t="shared" ref="O13" ca="1" si="24">IF(AND(ParBAL2&lt;&gt;"",ParBAL2=P13),1,0)</f>
        <v>0</v>
      </c>
      <c r="P13" s="291" t="s">
        <v>39</v>
      </c>
      <c r="Q13" s="160" t="s">
        <v>267</v>
      </c>
      <c r="R13" s="149"/>
      <c r="S13" s="149"/>
      <c r="T13" s="149"/>
      <c r="U13" s="150"/>
      <c r="V13" s="150"/>
      <c r="W13" s="150"/>
      <c r="X13" s="150"/>
      <c r="Y13" s="151"/>
      <c r="Z13" s="143"/>
      <c r="AA13" s="144">
        <f>IWTBAL-1</f>
        <v>45291</v>
      </c>
      <c r="AB13" s="143"/>
      <c r="AC13" s="145">
        <v>45241</v>
      </c>
      <c r="AD13" s="146"/>
      <c r="AE13" s="276" t="s">
        <v>124</v>
      </c>
      <c r="AF13" s="152" t="s">
        <v>367</v>
      </c>
      <c r="AG13" s="147"/>
      <c r="AH13" s="636"/>
      <c r="AI13" s="645"/>
      <c r="AJ13" s="269"/>
      <c r="AK13" s="626"/>
      <c r="AL13" s="147"/>
      <c r="AM13" s="655"/>
      <c r="AN13" s="834"/>
      <c r="AO13" s="325" t="str">
        <f t="shared" si="22"/>
        <v xml:space="preserve">Er geldt een continue meetverplichting (art 4.79). </v>
      </c>
      <c r="AP13" s="325" t="str">
        <f t="shared" si="19"/>
        <v>De kwaliteitsborging van het continue meetsysteem vindt plaats volgen NEN-EN 14181 (art. 4.78). Onder de voorwaarden van art. 4.81 4e lid zijn halfjaarlijkse (of geen) periodieke metingen door een geaccrediteerd laboratorium volgens NEN-EN 14791 toegestaan (art. 4.78 en 4.84).</v>
      </c>
      <c r="AQ13" s="325" t="str">
        <f t="shared" si="19"/>
        <v>De aangetoonde meetonzekerheid mag niet groter zijn dan 20% van de emissie-eis of 10 mg/Nm3 (art. 4.88).</v>
      </c>
      <c r="AR13" s="325" t="str">
        <f t="shared" si="19"/>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13" s="325"/>
      <c r="AT13" s="155"/>
      <c r="AU13" s="157"/>
      <c r="AV13" s="157"/>
      <c r="AW13" s="157"/>
      <c r="AX13" s="151"/>
    </row>
    <row r="14" spans="1:50" x14ac:dyDescent="0.2">
      <c r="A14" s="584"/>
      <c r="B14" s="585"/>
      <c r="C14" s="586"/>
      <c r="D14" s="587"/>
      <c r="E14" s="588"/>
      <c r="F14" s="588"/>
      <c r="G14" s="589"/>
      <c r="H14" s="589"/>
      <c r="I14" s="590"/>
      <c r="J14" s="589"/>
      <c r="K14" s="590"/>
      <c r="L14" s="589"/>
      <c r="M14" s="591"/>
      <c r="N14" s="589"/>
      <c r="O14" s="592"/>
      <c r="P14" s="593"/>
      <c r="Q14" s="594"/>
      <c r="R14" s="595"/>
      <c r="S14" s="595"/>
      <c r="T14" s="595"/>
      <c r="U14" s="596"/>
      <c r="V14" s="596"/>
      <c r="W14" s="596"/>
      <c r="X14" s="596"/>
      <c r="Y14" s="597"/>
      <c r="Z14" s="598"/>
      <c r="AA14" s="599"/>
      <c r="AB14" s="598"/>
      <c r="AC14" s="600"/>
      <c r="AD14" s="601"/>
      <c r="AE14" s="602"/>
      <c r="AF14" s="603"/>
      <c r="AG14" s="589"/>
      <c r="AH14" s="638"/>
      <c r="AI14" s="647"/>
      <c r="AJ14" s="604"/>
      <c r="AK14" s="628"/>
      <c r="AL14" s="589"/>
      <c r="AM14" s="657"/>
      <c r="AN14" s="837"/>
      <c r="AO14" s="606"/>
      <c r="AP14" s="606"/>
      <c r="AQ14" s="606"/>
      <c r="AR14" s="606"/>
      <c r="AS14" s="595"/>
      <c r="AT14" s="606"/>
      <c r="AU14" s="607"/>
      <c r="AV14" s="607"/>
      <c r="AW14" s="607"/>
      <c r="AX14" s="597"/>
    </row>
    <row r="15" spans="1:50" x14ac:dyDescent="0.2">
      <c r="A15" s="393" t="s">
        <v>294</v>
      </c>
      <c r="B15" s="394"/>
      <c r="C15" s="395"/>
      <c r="D15" s="396"/>
      <c r="E15" s="397"/>
      <c r="F15" s="397"/>
      <c r="G15" s="398"/>
      <c r="H15" s="398"/>
      <c r="I15" s="399"/>
      <c r="J15" s="398"/>
      <c r="K15" s="399"/>
      <c r="L15" s="398"/>
      <c r="M15" s="400"/>
      <c r="N15" s="398"/>
      <c r="O15" s="401"/>
      <c r="P15" s="402"/>
      <c r="Q15" s="403"/>
      <c r="R15" s="404"/>
      <c r="S15" s="404"/>
      <c r="T15" s="404"/>
      <c r="U15" s="405"/>
      <c r="V15" s="405"/>
      <c r="W15" s="405"/>
      <c r="X15" s="405"/>
      <c r="Y15" s="406"/>
      <c r="Z15" s="407"/>
      <c r="AA15" s="408"/>
      <c r="AB15" s="407"/>
      <c r="AC15" s="409"/>
      <c r="AD15" s="410"/>
      <c r="AE15" s="411"/>
      <c r="AF15" s="412"/>
      <c r="AG15" s="398"/>
      <c r="AH15" s="639"/>
      <c r="AI15" s="648"/>
      <c r="AJ15" s="413"/>
      <c r="AK15" s="629"/>
      <c r="AL15" s="398"/>
      <c r="AM15" s="658"/>
      <c r="AN15" s="838"/>
      <c r="AO15" s="333" t="str">
        <f ca="1">IF(AND(BRAND1&lt;=2,OR(ABRAND2=0,BRAND2&lt;=2)),"Op grond van artikel 4.41 4e lid is er geen meetverplichting.",CONCATENATE("Er geldt een continue meetverplichting (art 4.41)",IF(AND(BRAND1&lt;=10,BRAND1&lt;&gt;3,BRAND1&lt;&gt;4,BRAND1&lt;&gt;5,OR(ABRAND2=0,AND(BRAND2&lt;=10,BRAND2&lt;&gt;3,BRAND2&lt;&gt;4,BRAND2&lt;&gt;5))),CONCATENATE("; metingen zijn op grond van artikel 4.41 4e lid mogelijk niet verplicht."))))</f>
        <v>Op grond van artikel 4.41 4e lid is er geen meetverplichting.</v>
      </c>
      <c r="AP15" s="333" t="str">
        <f ca="1">IF(AND(BRAND1&lt;=2,OR(ABRAND2=0,BRAND2&lt;=2)),"","De kwaliteitsborging van het continue meetsysteem vindt plaats volgens NEN-EN 14181 (art. 4.40).")</f>
        <v/>
      </c>
      <c r="AQ15" s="333" t="str">
        <f ca="1">IF(AND(BRAND1&lt;=2,OR(ABRAND2=0,BRAND2&lt;=2)),"","De aangetoonde meetonzekerheid mag niet groter zijn dan 20% van de emissie-eis (art. 4.48).")</f>
        <v/>
      </c>
      <c r="AR15" s="333" t="str">
        <f ca="1">IF(AND(BRAND1&lt;=2,OR(ABRAND2=0,BRAND2&lt;=2)),"",CONCATENATE("De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f>
        <v/>
      </c>
      <c r="AS15" s="333" t="str">
        <f ca="1">IF(AND(BRAND1&lt;=10,BRAND1&lt;&gt;3,BRAND1&lt;&gt;4,BRAND1&lt;&gt;5,OR(ABRAND2=0,AND(BRAND2&lt;=10,BRAND2&lt;&gt;3,BRAND2&lt;&gt;4,BRAND2&lt;&gt;5))),"",IF(MW&lt;100,CONCATENATE("Onder de voorwaarden van art. 4.41 2e lid zijn halfjaarlijkse periodieke metingen door een geaccrediteerd laboratorium volgens NEN-EN 14792 toegestaan (art. 4.40 en 4.48)."," In dat geval voldoet de installatie als alle gevalideerde meetresultaten lager zijn dan de emissie-eis (art. 4.48). "),""))</f>
        <v/>
      </c>
      <c r="AT15" s="330"/>
      <c r="AU15" s="331"/>
      <c r="AV15" s="331"/>
      <c r="AW15" s="331"/>
      <c r="AX15" s="328"/>
    </row>
    <row r="16" spans="1:50" x14ac:dyDescent="0.2">
      <c r="A16" s="295"/>
      <c r="B16" s="339">
        <f t="shared" ref="B16:B25" ca="1" si="25">IF(AND(SUM(D16:K16,L16:M16)=COUNT(D16:K16,L16:M16),COUNT(D16:K16,L16:M16)&gt;0),ROW(B16),0)</f>
        <v>0</v>
      </c>
      <c r="C16" s="249">
        <f t="shared" ref="C16:C25" ca="1" si="26">IF(AND(SUM(D16:K16,N16:O16)=COUNT(D16:K16,N16:O16),COUNT(D16:K16,N16:O16)&gt;0),ROW(B16),0)</f>
        <v>0</v>
      </c>
      <c r="D16" s="246">
        <f t="shared" ref="D16:D25" ca="1" si="27">IF(AND(OR($Z16="",INGVAN="",$Z16&lt;=INGVAN),OR($Z16="",INGTOT="",$Z16&lt;=INGTOT),OR($AA16="",INGVAN="",$AA16&gt;=INGVAN),OR($AA16="",INGTOT="",$AA16&gt;=INGTOT)),1,0)</f>
        <v>1</v>
      </c>
      <c r="E16" s="247">
        <f t="shared" ca="1" si="15"/>
        <v>1</v>
      </c>
      <c r="F16" s="247">
        <f t="shared" ca="1" si="16"/>
        <v>1</v>
      </c>
      <c r="G16" s="147">
        <f ca="1">IF(AND(TSI&lt;3,SI&lt;&gt;3,SI&lt;&gt;5),1,0)</f>
        <v>1</v>
      </c>
      <c r="H16" s="147"/>
      <c r="I16" s="148"/>
      <c r="J16" s="147"/>
      <c r="K16" s="148"/>
      <c r="L16" s="147">
        <f ca="1">IF(BRAND1=9,1,0)</f>
        <v>0</v>
      </c>
      <c r="M16" s="248">
        <f t="shared" ca="1" si="20"/>
        <v>0</v>
      </c>
      <c r="N16" s="147">
        <f ca="1">IF(BRAND2=9,1,0)</f>
        <v>0</v>
      </c>
      <c r="O16" s="249">
        <f t="shared" ca="1" si="21"/>
        <v>0</v>
      </c>
      <c r="P16" s="279" t="s">
        <v>40</v>
      </c>
      <c r="Q16" s="160" t="s">
        <v>503</v>
      </c>
      <c r="R16" s="149" t="s">
        <v>506</v>
      </c>
      <c r="S16" s="149"/>
      <c r="T16" s="149"/>
      <c r="U16" s="150"/>
      <c r="V16" s="150"/>
      <c r="W16" s="150"/>
      <c r="X16" s="150"/>
      <c r="Y16" s="151"/>
      <c r="Z16" s="143"/>
      <c r="AA16" s="144"/>
      <c r="AB16" s="143"/>
      <c r="AC16" s="145"/>
      <c r="AD16" s="146"/>
      <c r="AE16" s="276" t="s">
        <v>368</v>
      </c>
      <c r="AF16" s="152" t="s">
        <v>161</v>
      </c>
      <c r="AG16" s="147"/>
      <c r="AH16" s="636"/>
      <c r="AI16" s="645"/>
      <c r="AJ16" s="269"/>
      <c r="AK16" s="626"/>
      <c r="AL16" s="147"/>
      <c r="AM16" s="655"/>
      <c r="AN16" s="834"/>
      <c r="AO16" s="325" t="str">
        <f ca="1">AO$15</f>
        <v>Op grond van artikel 4.41 4e lid is er geen meetverplichting.</v>
      </c>
      <c r="AP16" s="325" t="str">
        <f t="shared" ref="AP16:AS25" ca="1" si="28">AP$15</f>
        <v/>
      </c>
      <c r="AQ16" s="325" t="str">
        <f t="shared" ca="1" si="28"/>
        <v/>
      </c>
      <c r="AR16" s="325" t="str">
        <f t="shared" ca="1" si="28"/>
        <v/>
      </c>
      <c r="AS16" s="325" t="str">
        <f t="shared" ca="1" si="28"/>
        <v/>
      </c>
      <c r="AT16" s="149"/>
      <c r="AU16" s="150"/>
      <c r="AV16" s="150"/>
      <c r="AW16" s="150"/>
      <c r="AX16" s="151"/>
    </row>
    <row r="17" spans="1:50" x14ac:dyDescent="0.2">
      <c r="A17" s="295"/>
      <c r="B17" s="339">
        <f t="shared" ca="1" si="25"/>
        <v>0</v>
      </c>
      <c r="C17" s="249">
        <f t="shared" ca="1" si="26"/>
        <v>0</v>
      </c>
      <c r="D17" s="246">
        <f t="shared" ca="1" si="27"/>
        <v>1</v>
      </c>
      <c r="E17" s="247">
        <f t="shared" ca="1" si="15"/>
        <v>1</v>
      </c>
      <c r="F17" s="247">
        <f t="shared" ca="1" si="16"/>
        <v>1</v>
      </c>
      <c r="G17" s="147">
        <f ca="1">IF(OR(SI=3,SI=5),1,0)</f>
        <v>0</v>
      </c>
      <c r="H17" s="147"/>
      <c r="I17" s="148"/>
      <c r="J17" s="147"/>
      <c r="K17" s="148"/>
      <c r="L17" s="147">
        <f ca="1">IF(FBRAND1="l",1,0)</f>
        <v>0</v>
      </c>
      <c r="M17" s="248">
        <f t="shared" ca="1" si="20"/>
        <v>0</v>
      </c>
      <c r="N17" s="147">
        <f ca="1">IF(FBRAND2="l",1,0)</f>
        <v>0</v>
      </c>
      <c r="O17" s="249">
        <f t="shared" ca="1" si="21"/>
        <v>0</v>
      </c>
      <c r="P17" s="279" t="s">
        <v>40</v>
      </c>
      <c r="Q17" s="160" t="s">
        <v>369</v>
      </c>
      <c r="R17" s="149" t="s">
        <v>158</v>
      </c>
      <c r="S17" s="149"/>
      <c r="T17" s="149"/>
      <c r="U17" s="150"/>
      <c r="V17" s="150"/>
      <c r="W17" s="150"/>
      <c r="X17" s="150"/>
      <c r="Y17" s="151"/>
      <c r="Z17" s="143"/>
      <c r="AA17" s="144"/>
      <c r="AB17" s="143"/>
      <c r="AC17" s="145"/>
      <c r="AD17" s="146"/>
      <c r="AE17" s="276" t="s">
        <v>368</v>
      </c>
      <c r="AF17" s="152" t="s">
        <v>161</v>
      </c>
      <c r="AG17" s="147"/>
      <c r="AH17" s="636"/>
      <c r="AI17" s="645"/>
      <c r="AJ17" s="269"/>
      <c r="AK17" s="626"/>
      <c r="AL17" s="147"/>
      <c r="AM17" s="655"/>
      <c r="AN17" s="839"/>
      <c r="AO17" s="348" t="str">
        <f t="shared" ref="AO17:AO25" ca="1" si="29">AO$15</f>
        <v>Op grond van artikel 4.41 4e lid is er geen meetverplichting.</v>
      </c>
      <c r="AP17" s="325" t="str">
        <f t="shared" ca="1" si="28"/>
        <v/>
      </c>
      <c r="AQ17" s="325" t="str">
        <f t="shared" ca="1" si="28"/>
        <v/>
      </c>
      <c r="AR17" s="348" t="str">
        <f t="shared" ca="1" si="28"/>
        <v/>
      </c>
      <c r="AS17" s="348" t="str">
        <f t="shared" ca="1" si="28"/>
        <v/>
      </c>
      <c r="AT17" s="149"/>
      <c r="AU17" s="150"/>
      <c r="AV17" s="150"/>
      <c r="AW17" s="150"/>
      <c r="AX17" s="151"/>
    </row>
    <row r="18" spans="1:50" x14ac:dyDescent="0.2">
      <c r="A18" s="295"/>
      <c r="B18" s="339">
        <f t="shared" ca="1" si="25"/>
        <v>0</v>
      </c>
      <c r="C18" s="249">
        <f t="shared" ca="1" si="26"/>
        <v>0</v>
      </c>
      <c r="D18" s="246">
        <f t="shared" ca="1" si="27"/>
        <v>0</v>
      </c>
      <c r="E18" s="247">
        <f t="shared" ca="1" si="15"/>
        <v>1</v>
      </c>
      <c r="F18" s="247">
        <f t="shared" ca="1" si="16"/>
        <v>1</v>
      </c>
      <c r="G18" s="147">
        <f ca="1">IF(AND(TSI&lt;3,SI&lt;&gt;3,SI&lt;&gt;5),1,0)</f>
        <v>1</v>
      </c>
      <c r="H18" s="147"/>
      <c r="I18" s="148"/>
      <c r="J18" s="147"/>
      <c r="K18" s="148"/>
      <c r="L18" s="147">
        <f ca="1">IF(OR(FBRAND1="s",FBRAND1="l"),1,0)</f>
        <v>0</v>
      </c>
      <c r="M18" s="248">
        <f t="shared" ca="1" si="20"/>
        <v>0</v>
      </c>
      <c r="N18" s="147">
        <f ca="1">IF(OR(FBRAND2="s",FBRAND2="l"),1,0)</f>
        <v>0</v>
      </c>
      <c r="O18" s="249">
        <f t="shared" ca="1" si="21"/>
        <v>0</v>
      </c>
      <c r="P18" s="279" t="s">
        <v>40</v>
      </c>
      <c r="Q18" s="149" t="s">
        <v>370</v>
      </c>
      <c r="R18" s="149" t="s">
        <v>505</v>
      </c>
      <c r="S18" s="149"/>
      <c r="T18" s="149"/>
      <c r="U18" s="150"/>
      <c r="V18" s="150"/>
      <c r="W18" s="150"/>
      <c r="X18" s="150"/>
      <c r="Y18" s="151"/>
      <c r="Z18" s="143"/>
      <c r="AA18" s="144">
        <f>IPPCbest</f>
        <v>36463</v>
      </c>
      <c r="AB18" s="143"/>
      <c r="AC18" s="145"/>
      <c r="AD18" s="146"/>
      <c r="AE18" s="276" t="s">
        <v>368</v>
      </c>
      <c r="AF18" s="152" t="s">
        <v>164</v>
      </c>
      <c r="AG18" s="147"/>
      <c r="AH18" s="636"/>
      <c r="AI18" s="645"/>
      <c r="AJ18" s="269"/>
      <c r="AK18" s="626"/>
      <c r="AL18" s="147"/>
      <c r="AM18" s="655"/>
      <c r="AN18" s="839"/>
      <c r="AO18" s="348" t="str">
        <f t="shared" ca="1" si="29"/>
        <v>Op grond van artikel 4.41 4e lid is er geen meetverplichting.</v>
      </c>
      <c r="AP18" s="325" t="str">
        <f t="shared" ca="1" si="28"/>
        <v/>
      </c>
      <c r="AQ18" s="325" t="str">
        <f t="shared" ca="1" si="28"/>
        <v/>
      </c>
      <c r="AR18" s="325" t="str">
        <f t="shared" ca="1" si="28"/>
        <v/>
      </c>
      <c r="AS18" s="348" t="str">
        <f t="shared" ca="1" si="28"/>
        <v/>
      </c>
      <c r="AT18" s="149"/>
      <c r="AU18" s="150"/>
      <c r="AV18" s="150"/>
      <c r="AW18" s="150"/>
      <c r="AX18" s="151"/>
    </row>
    <row r="19" spans="1:50" x14ac:dyDescent="0.2">
      <c r="A19" s="295"/>
      <c r="B19" s="339">
        <f t="shared" ca="1" si="25"/>
        <v>0</v>
      </c>
      <c r="C19" s="249">
        <f t="shared" ca="1" si="26"/>
        <v>0</v>
      </c>
      <c r="D19" s="246">
        <f t="shared" ca="1" si="27"/>
        <v>1</v>
      </c>
      <c r="E19" s="247">
        <f t="shared" ca="1" si="15"/>
        <v>1</v>
      </c>
      <c r="F19" s="247">
        <f t="shared" ca="1" si="16"/>
        <v>1</v>
      </c>
      <c r="G19" s="147">
        <f ca="1">IF(AND(TSI&lt;3,SI&lt;&gt;3,SI&lt;&gt;5),1,0)</f>
        <v>1</v>
      </c>
      <c r="H19" s="147"/>
      <c r="I19" s="148"/>
      <c r="J19" s="147"/>
      <c r="K19" s="148"/>
      <c r="L19" s="147">
        <f ca="1">IF(OR(AND(FBRAND1="s",BRAND1&lt;&gt;9),FBRAND1="l"),1,0)</f>
        <v>0</v>
      </c>
      <c r="M19" s="248">
        <f t="shared" ca="1" si="20"/>
        <v>0</v>
      </c>
      <c r="N19" s="147">
        <f ca="1">IF(OR(AND(FBRAND2="s",BRAND2&lt;&gt;9),FBRAND2="l"),1,0)</f>
        <v>0</v>
      </c>
      <c r="O19" s="249">
        <f t="shared" ca="1" si="21"/>
        <v>0</v>
      </c>
      <c r="P19" s="279" t="s">
        <v>40</v>
      </c>
      <c r="Q19" s="149" t="s">
        <v>504</v>
      </c>
      <c r="R19" s="149" t="s">
        <v>507</v>
      </c>
      <c r="S19" s="149"/>
      <c r="T19" s="149"/>
      <c r="U19" s="150"/>
      <c r="V19" s="150"/>
      <c r="W19" s="150"/>
      <c r="X19" s="150"/>
      <c r="Y19" s="151"/>
      <c r="Z19" s="143">
        <v>36463</v>
      </c>
      <c r="AA19" s="144"/>
      <c r="AB19" s="143"/>
      <c r="AC19" s="145"/>
      <c r="AD19" s="146"/>
      <c r="AE19" s="276" t="s">
        <v>368</v>
      </c>
      <c r="AF19" s="152" t="s">
        <v>162</v>
      </c>
      <c r="AG19" s="147"/>
      <c r="AH19" s="636"/>
      <c r="AI19" s="645"/>
      <c r="AJ19" s="269"/>
      <c r="AK19" s="626"/>
      <c r="AL19" s="147"/>
      <c r="AM19" s="655"/>
      <c r="AN19" s="834"/>
      <c r="AO19" s="325" t="str">
        <f t="shared" ca="1" si="29"/>
        <v>Op grond van artikel 4.41 4e lid is er geen meetverplichting.</v>
      </c>
      <c r="AP19" s="325" t="str">
        <f t="shared" ca="1" si="28"/>
        <v/>
      </c>
      <c r="AQ19" s="325" t="str">
        <f t="shared" ca="1" si="28"/>
        <v/>
      </c>
      <c r="AR19" s="325" t="str">
        <f t="shared" ca="1" si="28"/>
        <v/>
      </c>
      <c r="AS19" s="325" t="str">
        <f t="shared" ca="1" si="28"/>
        <v/>
      </c>
      <c r="AT19" s="149"/>
      <c r="AU19" s="150"/>
      <c r="AV19" s="150"/>
      <c r="AW19" s="150"/>
      <c r="AX19" s="151"/>
    </row>
    <row r="20" spans="1:50" x14ac:dyDescent="0.2">
      <c r="A20" s="295"/>
      <c r="B20" s="339">
        <f t="shared" ca="1" si="25"/>
        <v>0</v>
      </c>
      <c r="C20" s="249">
        <f t="shared" ca="1" si="26"/>
        <v>0</v>
      </c>
      <c r="D20" s="246">
        <f t="shared" ca="1" si="27"/>
        <v>1</v>
      </c>
      <c r="E20" s="247">
        <f t="shared" ca="1" si="15"/>
        <v>1</v>
      </c>
      <c r="F20" s="247">
        <f t="shared" ca="1" si="16"/>
        <v>1</v>
      </c>
      <c r="G20" s="147">
        <f ca="1">IF(TSI&lt;3,1,0)</f>
        <v>1</v>
      </c>
      <c r="H20" s="147"/>
      <c r="I20" s="148"/>
      <c r="J20" s="147"/>
      <c r="K20" s="148"/>
      <c r="L20" s="147">
        <f ca="1">IF(BRAND1=11,1,0)</f>
        <v>0</v>
      </c>
      <c r="M20" s="248">
        <f t="shared" ca="1" si="20"/>
        <v>0</v>
      </c>
      <c r="N20" s="147">
        <f ca="1">IF(BRAND2=11,1,0)</f>
        <v>0</v>
      </c>
      <c r="O20" s="249">
        <f t="shared" ca="1" si="21"/>
        <v>0</v>
      </c>
      <c r="P20" s="279" t="s">
        <v>40</v>
      </c>
      <c r="Q20" s="149" t="s">
        <v>9</v>
      </c>
      <c r="R20" s="149" t="s">
        <v>371</v>
      </c>
      <c r="S20" s="149"/>
      <c r="T20" s="149"/>
      <c r="U20" s="150"/>
      <c r="V20" s="150"/>
      <c r="W20" s="150"/>
      <c r="X20" s="150"/>
      <c r="Y20" s="151"/>
      <c r="Z20" s="143"/>
      <c r="AA20" s="144"/>
      <c r="AB20" s="143"/>
      <c r="AC20" s="145"/>
      <c r="AD20" s="146"/>
      <c r="AE20" s="276" t="s">
        <v>368</v>
      </c>
      <c r="AF20" s="152" t="s">
        <v>372</v>
      </c>
      <c r="AG20" s="147"/>
      <c r="AH20" s="636"/>
      <c r="AI20" s="645"/>
      <c r="AJ20" s="269"/>
      <c r="AK20" s="626"/>
      <c r="AL20" s="147"/>
      <c r="AM20" s="655"/>
      <c r="AN20" s="834"/>
      <c r="AO20" s="325" t="str">
        <f t="shared" ca="1" si="29"/>
        <v>Op grond van artikel 4.41 4e lid is er geen meetverplichting.</v>
      </c>
      <c r="AP20" s="325" t="str">
        <f t="shared" ca="1" si="28"/>
        <v/>
      </c>
      <c r="AQ20" s="325" t="str">
        <f t="shared" ca="1" si="28"/>
        <v/>
      </c>
      <c r="AR20" s="325" t="str">
        <f t="shared" ca="1" si="28"/>
        <v/>
      </c>
      <c r="AS20" s="325" t="str">
        <f t="shared" ca="1" si="28"/>
        <v/>
      </c>
      <c r="AT20" s="149"/>
      <c r="AU20" s="150"/>
      <c r="AV20" s="150"/>
      <c r="AW20" s="150"/>
      <c r="AX20" s="151"/>
    </row>
    <row r="21" spans="1:50" x14ac:dyDescent="0.2">
      <c r="A21" s="295"/>
      <c r="B21" s="339">
        <f t="shared" ca="1" si="25"/>
        <v>0</v>
      </c>
      <c r="C21" s="249">
        <f t="shared" ca="1" si="26"/>
        <v>0</v>
      </c>
      <c r="D21" s="246">
        <f t="shared" ca="1" si="27"/>
        <v>1</v>
      </c>
      <c r="E21" s="247">
        <f t="shared" ca="1" si="15"/>
        <v>1</v>
      </c>
      <c r="F21" s="247">
        <f t="shared" ca="1" si="16"/>
        <v>1</v>
      </c>
      <c r="G21" s="147">
        <f ca="1">IF(OR(SI=3,SI=4),1,0)</f>
        <v>0</v>
      </c>
      <c r="H21" s="147"/>
      <c r="I21" s="148"/>
      <c r="J21" s="147"/>
      <c r="K21" s="148"/>
      <c r="L21" s="147">
        <f ca="1">IF(OR(BRAND1=12,BRAND1=13),1,0)</f>
        <v>0</v>
      </c>
      <c r="M21" s="248">
        <f t="shared" ca="1" si="20"/>
        <v>0</v>
      </c>
      <c r="N21" s="147">
        <f ca="1">IF(OR(BRAND2=12,BRAND2=13),1,0)</f>
        <v>0</v>
      </c>
      <c r="O21" s="249">
        <f t="shared" ca="1" si="21"/>
        <v>0</v>
      </c>
      <c r="P21" s="279" t="s">
        <v>40</v>
      </c>
      <c r="Q21" s="149" t="s">
        <v>373</v>
      </c>
      <c r="R21" s="149" t="s">
        <v>374</v>
      </c>
      <c r="S21" s="149"/>
      <c r="T21" s="149"/>
      <c r="U21" s="150"/>
      <c r="V21" s="150"/>
      <c r="W21" s="150"/>
      <c r="X21" s="150"/>
      <c r="Y21" s="151"/>
      <c r="Z21" s="143"/>
      <c r="AA21" s="144"/>
      <c r="AB21" s="143"/>
      <c r="AC21" s="145"/>
      <c r="AD21" s="146"/>
      <c r="AE21" s="276" t="s">
        <v>368</v>
      </c>
      <c r="AF21" s="152" t="s">
        <v>161</v>
      </c>
      <c r="AG21" s="147"/>
      <c r="AH21" s="636"/>
      <c r="AI21" s="650"/>
      <c r="AJ21" s="663"/>
      <c r="AK21" s="626"/>
      <c r="AL21" s="147"/>
      <c r="AM21" s="655"/>
      <c r="AN21" s="834"/>
      <c r="AO21" s="325" t="str">
        <f t="shared" ca="1" si="29"/>
        <v>Op grond van artikel 4.41 4e lid is er geen meetverplichting.</v>
      </c>
      <c r="AP21" s="325" t="str">
        <f t="shared" ca="1" si="28"/>
        <v/>
      </c>
      <c r="AQ21" s="325" t="str">
        <f t="shared" ca="1" si="28"/>
        <v/>
      </c>
      <c r="AR21" s="325" t="str">
        <f t="shared" ca="1" si="28"/>
        <v/>
      </c>
      <c r="AS21" s="325" t="str">
        <f t="shared" ca="1" si="28"/>
        <v/>
      </c>
      <c r="AT21" s="149"/>
      <c r="AU21" s="150"/>
      <c r="AV21" s="150"/>
      <c r="AW21" s="150"/>
      <c r="AX21" s="158"/>
    </row>
    <row r="22" spans="1:50" x14ac:dyDescent="0.2">
      <c r="A22" s="295"/>
      <c r="B22" s="339">
        <f t="shared" ca="1" si="25"/>
        <v>0</v>
      </c>
      <c r="C22" s="249">
        <f t="shared" ca="1" si="26"/>
        <v>0</v>
      </c>
      <c r="D22" s="246">
        <f t="shared" ca="1" si="27"/>
        <v>1</v>
      </c>
      <c r="E22" s="247">
        <f t="shared" ca="1" si="15"/>
        <v>1</v>
      </c>
      <c r="F22" s="247">
        <f t="shared" ca="1" si="16"/>
        <v>1</v>
      </c>
      <c r="G22" s="147">
        <f ca="1">IF(AND(TSI&lt;3,SI&lt;&gt;3,SI&lt;&gt;4),1,0)</f>
        <v>1</v>
      </c>
      <c r="H22" s="147"/>
      <c r="I22" s="148"/>
      <c r="J22" s="147"/>
      <c r="K22" s="148"/>
      <c r="L22" s="147">
        <f ca="1">IF(BRAND1=12,1,0)</f>
        <v>0</v>
      </c>
      <c r="M22" s="248">
        <f t="shared" ca="1" si="20"/>
        <v>0</v>
      </c>
      <c r="N22" s="147">
        <f ca="1">IF(BRAND2=12,1,0)</f>
        <v>0</v>
      </c>
      <c r="O22" s="249">
        <f t="shared" ca="1" si="21"/>
        <v>0</v>
      </c>
      <c r="P22" s="279" t="s">
        <v>40</v>
      </c>
      <c r="Q22" s="149" t="s">
        <v>375</v>
      </c>
      <c r="R22" s="149" t="s">
        <v>377</v>
      </c>
      <c r="S22" s="149"/>
      <c r="T22" s="149"/>
      <c r="U22" s="150"/>
      <c r="V22" s="150"/>
      <c r="W22" s="150"/>
      <c r="X22" s="150"/>
      <c r="Y22" s="151"/>
      <c r="Z22" s="143"/>
      <c r="AA22" s="144"/>
      <c r="AB22" s="143"/>
      <c r="AC22" s="145"/>
      <c r="AD22" s="146"/>
      <c r="AE22" s="276" t="s">
        <v>368</v>
      </c>
      <c r="AF22" s="152" t="s">
        <v>376</v>
      </c>
      <c r="AG22" s="147"/>
      <c r="AH22" s="636"/>
      <c r="AI22" s="645"/>
      <c r="AJ22" s="269"/>
      <c r="AK22" s="626"/>
      <c r="AL22" s="147"/>
      <c r="AM22" s="655"/>
      <c r="AN22" s="834"/>
      <c r="AO22" s="325" t="str">
        <f t="shared" ca="1" si="29"/>
        <v>Op grond van artikel 4.41 4e lid is er geen meetverplichting.</v>
      </c>
      <c r="AP22" s="325" t="str">
        <f t="shared" ca="1" si="28"/>
        <v/>
      </c>
      <c r="AQ22" s="325" t="str">
        <f t="shared" ca="1" si="28"/>
        <v/>
      </c>
      <c r="AR22" s="325" t="str">
        <f t="shared" ca="1" si="28"/>
        <v/>
      </c>
      <c r="AS22" s="325" t="str">
        <f t="shared" ca="1" si="28"/>
        <v/>
      </c>
      <c r="AT22" s="149"/>
      <c r="AU22" s="150"/>
      <c r="AV22" s="150"/>
      <c r="AW22" s="150"/>
      <c r="AX22" s="158"/>
    </row>
    <row r="23" spans="1:50" x14ac:dyDescent="0.2">
      <c r="A23" s="295"/>
      <c r="B23" s="339">
        <f t="shared" ca="1" si="25"/>
        <v>0</v>
      </c>
      <c r="C23" s="249">
        <f t="shared" ca="1" si="26"/>
        <v>0</v>
      </c>
      <c r="D23" s="246">
        <f t="shared" ca="1" si="27"/>
        <v>1</v>
      </c>
      <c r="E23" s="247">
        <f t="shared" ca="1" si="15"/>
        <v>1</v>
      </c>
      <c r="F23" s="247">
        <f t="shared" ca="1" si="16"/>
        <v>1</v>
      </c>
      <c r="G23" s="147">
        <f ca="1">IF(AND(TSI&lt;3,SI&lt;&gt;3,SI&lt;&gt;4),1,0)</f>
        <v>1</v>
      </c>
      <c r="H23" s="147"/>
      <c r="I23" s="148"/>
      <c r="J23" s="147"/>
      <c r="K23" s="148"/>
      <c r="L23" s="147">
        <f ca="1">IF(BRAND1=13,1,0)</f>
        <v>0</v>
      </c>
      <c r="M23" s="248">
        <f t="shared" ca="1" si="20"/>
        <v>0</v>
      </c>
      <c r="N23" s="147">
        <f ca="1">IF(BRAND2=13,1,0)</f>
        <v>0</v>
      </c>
      <c r="O23" s="249">
        <f t="shared" ca="1" si="21"/>
        <v>0</v>
      </c>
      <c r="P23" s="279" t="s">
        <v>40</v>
      </c>
      <c r="Q23" s="149" t="s">
        <v>375</v>
      </c>
      <c r="R23" s="149" t="s">
        <v>378</v>
      </c>
      <c r="S23" s="149"/>
      <c r="T23" s="149"/>
      <c r="U23" s="150"/>
      <c r="V23" s="150"/>
      <c r="W23" s="150"/>
      <c r="X23" s="150"/>
      <c r="Y23" s="151"/>
      <c r="Z23" s="143"/>
      <c r="AA23" s="144"/>
      <c r="AB23" s="143"/>
      <c r="AC23" s="145"/>
      <c r="AD23" s="146"/>
      <c r="AE23" s="276" t="s">
        <v>368</v>
      </c>
      <c r="AF23" s="152" t="s">
        <v>164</v>
      </c>
      <c r="AG23" s="147"/>
      <c r="AH23" s="636"/>
      <c r="AI23" s="645"/>
      <c r="AJ23" s="269"/>
      <c r="AK23" s="626"/>
      <c r="AL23" s="147"/>
      <c r="AM23" s="655"/>
      <c r="AN23" s="834"/>
      <c r="AO23" s="325" t="str">
        <f t="shared" ca="1" si="29"/>
        <v>Op grond van artikel 4.41 4e lid is er geen meetverplichting.</v>
      </c>
      <c r="AP23" s="325" t="str">
        <f t="shared" ca="1" si="28"/>
        <v/>
      </c>
      <c r="AQ23" s="325" t="str">
        <f t="shared" ca="1" si="28"/>
        <v/>
      </c>
      <c r="AR23" s="325" t="str">
        <f t="shared" ca="1" si="28"/>
        <v/>
      </c>
      <c r="AS23" s="325" t="str">
        <f t="shared" ca="1" si="28"/>
        <v/>
      </c>
      <c r="AT23" s="149"/>
      <c r="AU23" s="150"/>
      <c r="AV23" s="150"/>
      <c r="AW23" s="150"/>
      <c r="AX23" s="158"/>
    </row>
    <row r="24" spans="1:50" x14ac:dyDescent="0.2">
      <c r="A24" s="295"/>
      <c r="B24" s="339">
        <f t="shared" ca="1" si="25"/>
        <v>0</v>
      </c>
      <c r="C24" s="249">
        <f t="shared" ca="1" si="26"/>
        <v>0</v>
      </c>
      <c r="D24" s="246">
        <f t="shared" ca="1" si="27"/>
        <v>1</v>
      </c>
      <c r="E24" s="247">
        <f t="shared" ca="1" si="15"/>
        <v>1</v>
      </c>
      <c r="F24" s="247">
        <f t="shared" ca="1" si="16"/>
        <v>1</v>
      </c>
      <c r="G24" s="147">
        <f ca="1">IF(TSI&lt;3,1,0)</f>
        <v>1</v>
      </c>
      <c r="H24" s="147"/>
      <c r="I24" s="148"/>
      <c r="J24" s="147"/>
      <c r="K24" s="148"/>
      <c r="L24" s="147">
        <f ca="1">IF(BRAND1=14,1,0)</f>
        <v>0</v>
      </c>
      <c r="M24" s="248">
        <f t="shared" ca="1" si="20"/>
        <v>0</v>
      </c>
      <c r="N24" s="147">
        <f ca="1">IF(BRAND2=14,1,0)</f>
        <v>0</v>
      </c>
      <c r="O24" s="249">
        <f t="shared" ca="1" si="21"/>
        <v>0</v>
      </c>
      <c r="P24" s="279" t="s">
        <v>40</v>
      </c>
      <c r="Q24" s="149" t="s">
        <v>9</v>
      </c>
      <c r="R24" s="149" t="s">
        <v>379</v>
      </c>
      <c r="S24" s="149"/>
      <c r="T24" s="149"/>
      <c r="U24" s="150"/>
      <c r="V24" s="150"/>
      <c r="W24" s="150"/>
      <c r="X24" s="150"/>
      <c r="Y24" s="151"/>
      <c r="Z24" s="143"/>
      <c r="AA24" s="144"/>
      <c r="AB24" s="143"/>
      <c r="AC24" s="145"/>
      <c r="AD24" s="146"/>
      <c r="AE24" s="276" t="s">
        <v>368</v>
      </c>
      <c r="AF24" s="152" t="s">
        <v>176</v>
      </c>
      <c r="AG24" s="147"/>
      <c r="AH24" s="636"/>
      <c r="AI24" s="645"/>
      <c r="AJ24" s="269"/>
      <c r="AK24" s="626" t="s">
        <v>381</v>
      </c>
      <c r="AL24" s="147">
        <v>500</v>
      </c>
      <c r="AM24" s="655" t="s">
        <v>382</v>
      </c>
      <c r="AN24" s="834"/>
      <c r="AO24" s="325" t="str">
        <f t="shared" ca="1" si="29"/>
        <v>Op grond van artikel 4.41 4e lid is er geen meetverplichting.</v>
      </c>
      <c r="AP24" s="325" t="str">
        <f t="shared" ca="1" si="28"/>
        <v/>
      </c>
      <c r="AQ24" s="325" t="str">
        <f t="shared" ca="1" si="28"/>
        <v/>
      </c>
      <c r="AR24" s="325" t="str">
        <f t="shared" ca="1" si="28"/>
        <v/>
      </c>
      <c r="AS24" s="325" t="str">
        <f t="shared" ca="1" si="28"/>
        <v/>
      </c>
      <c r="AT24" s="149"/>
      <c r="AU24" s="150"/>
      <c r="AV24" s="150"/>
      <c r="AW24" s="150"/>
      <c r="AX24" s="158"/>
    </row>
    <row r="25" spans="1:50" x14ac:dyDescent="0.2">
      <c r="A25" s="295"/>
      <c r="B25" s="339">
        <f t="shared" ca="1" si="25"/>
        <v>0</v>
      </c>
      <c r="C25" s="249">
        <f t="shared" ca="1" si="26"/>
        <v>0</v>
      </c>
      <c r="D25" s="246">
        <f t="shared" ca="1" si="27"/>
        <v>1</v>
      </c>
      <c r="E25" s="247">
        <f t="shared" ca="1" si="15"/>
        <v>1</v>
      </c>
      <c r="F25" s="247">
        <f t="shared" ca="1" si="16"/>
        <v>1</v>
      </c>
      <c r="G25" s="147">
        <f ca="1">IF(TSI&lt;3,1,0)</f>
        <v>1</v>
      </c>
      <c r="H25" s="147"/>
      <c r="I25" s="148"/>
      <c r="J25" s="147"/>
      <c r="K25" s="148"/>
      <c r="L25" s="147">
        <f ca="1">IF(AND(FBRAND1="g",BRAND1&lt;&gt;11,BRAND1&lt;&gt;12,BRAND1&lt;&gt;13),1,0)</f>
        <v>1</v>
      </c>
      <c r="M25" s="248">
        <f t="shared" ca="1" si="20"/>
        <v>0</v>
      </c>
      <c r="N25" s="147">
        <f ca="1">IF(AND(FBRAND1="g",BRAND1&lt;&gt;11,BRAND1&lt;&gt;12,BRAND1&lt;&gt;13),1,0)</f>
        <v>1</v>
      </c>
      <c r="O25" s="249">
        <f t="shared" ca="1" si="21"/>
        <v>0</v>
      </c>
      <c r="P25" s="279" t="s">
        <v>40</v>
      </c>
      <c r="Q25" s="149" t="s">
        <v>9</v>
      </c>
      <c r="R25" s="149" t="s">
        <v>380</v>
      </c>
      <c r="S25" s="149"/>
      <c r="T25" s="149"/>
      <c r="U25" s="150"/>
      <c r="V25" s="150"/>
      <c r="W25" s="150"/>
      <c r="X25" s="150"/>
      <c r="Y25" s="151"/>
      <c r="Z25" s="143"/>
      <c r="AA25" s="144"/>
      <c r="AB25" s="143"/>
      <c r="AC25" s="145"/>
      <c r="AD25" s="146"/>
      <c r="AE25" s="276" t="s">
        <v>368</v>
      </c>
      <c r="AF25" s="152" t="s">
        <v>176</v>
      </c>
      <c r="AG25" s="147"/>
      <c r="AH25" s="636"/>
      <c r="AI25" s="645"/>
      <c r="AJ25" s="269"/>
      <c r="AK25" s="626"/>
      <c r="AL25" s="147"/>
      <c r="AM25" s="655"/>
      <c r="AN25" s="834"/>
      <c r="AO25" s="325" t="str">
        <f t="shared" ca="1" si="29"/>
        <v>Op grond van artikel 4.41 4e lid is er geen meetverplichting.</v>
      </c>
      <c r="AP25" s="325" t="str">
        <f t="shared" ca="1" si="28"/>
        <v/>
      </c>
      <c r="AQ25" s="325" t="str">
        <f t="shared" ca="1" si="28"/>
        <v/>
      </c>
      <c r="AR25" s="325" t="str">
        <f t="shared" ca="1" si="28"/>
        <v/>
      </c>
      <c r="AS25" s="325" t="str">
        <f t="shared" ca="1" si="28"/>
        <v/>
      </c>
      <c r="AT25" s="149"/>
      <c r="AU25" s="150"/>
      <c r="AV25" s="150"/>
      <c r="AW25" s="150"/>
      <c r="AX25" s="151"/>
    </row>
    <row r="26" spans="1:50" x14ac:dyDescent="0.2">
      <c r="A26" s="295"/>
      <c r="B26" s="340"/>
      <c r="C26" s="341"/>
      <c r="D26" s="326"/>
      <c r="E26" s="46"/>
      <c r="F26" s="46"/>
      <c r="G26" s="147"/>
      <c r="H26" s="147"/>
      <c r="I26" s="148"/>
      <c r="J26" s="147"/>
      <c r="K26" s="148"/>
      <c r="L26" s="147"/>
      <c r="M26" s="56"/>
      <c r="N26" s="147"/>
      <c r="O26" s="59"/>
      <c r="P26" s="279"/>
      <c r="Q26" s="160"/>
      <c r="R26" s="149"/>
      <c r="S26" s="149"/>
      <c r="T26" s="149"/>
      <c r="U26" s="150"/>
      <c r="V26" s="150"/>
      <c r="W26" s="150"/>
      <c r="X26" s="150"/>
      <c r="Y26" s="151"/>
      <c r="Z26" s="143"/>
      <c r="AA26" s="144"/>
      <c r="AB26" s="143"/>
      <c r="AC26" s="145"/>
      <c r="AD26" s="146"/>
      <c r="AE26" s="276"/>
      <c r="AF26" s="152"/>
      <c r="AG26" s="147"/>
      <c r="AH26" s="636"/>
      <c r="AI26" s="645"/>
      <c r="AJ26" s="269"/>
      <c r="AK26" s="626"/>
      <c r="AL26" s="147"/>
      <c r="AM26" s="655"/>
      <c r="AN26" s="835"/>
      <c r="AO26" s="155"/>
      <c r="AP26" s="155"/>
      <c r="AQ26" s="155"/>
      <c r="AR26" s="155"/>
      <c r="AS26" s="149"/>
      <c r="AT26" s="155"/>
      <c r="AU26" s="157"/>
      <c r="AV26" s="157"/>
      <c r="AW26" s="157"/>
      <c r="AX26" s="151"/>
    </row>
    <row r="27" spans="1:50" x14ac:dyDescent="0.2">
      <c r="A27" s="363" t="s">
        <v>338</v>
      </c>
      <c r="B27" s="364"/>
      <c r="C27" s="365"/>
      <c r="D27" s="366"/>
      <c r="E27" s="367"/>
      <c r="F27" s="367"/>
      <c r="G27" s="368"/>
      <c r="H27" s="368"/>
      <c r="I27" s="369"/>
      <c r="J27" s="368"/>
      <c r="K27" s="369"/>
      <c r="L27" s="368"/>
      <c r="M27" s="370"/>
      <c r="N27" s="368"/>
      <c r="O27" s="371"/>
      <c r="P27" s="372"/>
      <c r="Q27" s="373"/>
      <c r="R27" s="374"/>
      <c r="S27" s="374"/>
      <c r="T27" s="374"/>
      <c r="U27" s="375"/>
      <c r="V27" s="375"/>
      <c r="W27" s="375"/>
      <c r="X27" s="375"/>
      <c r="Y27" s="376"/>
      <c r="Z27" s="377"/>
      <c r="AA27" s="378"/>
      <c r="AB27" s="377"/>
      <c r="AC27" s="379"/>
      <c r="AD27" s="380"/>
      <c r="AE27" s="381"/>
      <c r="AF27" s="382"/>
      <c r="AG27" s="368"/>
      <c r="AH27" s="637"/>
      <c r="AI27" s="646"/>
      <c r="AJ27" s="383"/>
      <c r="AK27" s="627"/>
      <c r="AL27" s="368"/>
      <c r="AM27" s="656"/>
      <c r="AN27" s="836"/>
      <c r="AO27" s="346" t="s">
        <v>245</v>
      </c>
      <c r="AP27" s="346" t="s">
        <v>384</v>
      </c>
      <c r="AQ27" s="346" t="s">
        <v>191</v>
      </c>
      <c r="AR27" s="346" t="s">
        <v>212</v>
      </c>
      <c r="AS27" s="346"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27" s="336"/>
      <c r="AU27" s="337"/>
      <c r="AV27" s="337"/>
      <c r="AW27" s="337"/>
      <c r="AX27" s="335"/>
    </row>
    <row r="28" spans="1:50" x14ac:dyDescent="0.2">
      <c r="A28" s="584"/>
      <c r="B28" s="585"/>
      <c r="C28" s="586"/>
      <c r="D28" s="587"/>
      <c r="E28" s="588"/>
      <c r="F28" s="588"/>
      <c r="G28" s="589"/>
      <c r="H28" s="589"/>
      <c r="I28" s="590"/>
      <c r="J28" s="589"/>
      <c r="K28" s="590"/>
      <c r="L28" s="589"/>
      <c r="M28" s="591"/>
      <c r="N28" s="589"/>
      <c r="O28" s="592"/>
      <c r="P28" s="593"/>
      <c r="Q28" s="594"/>
      <c r="R28" s="595"/>
      <c r="S28" s="595"/>
      <c r="T28" s="595"/>
      <c r="U28" s="596"/>
      <c r="V28" s="596"/>
      <c r="W28" s="596"/>
      <c r="X28" s="596"/>
      <c r="Y28" s="597"/>
      <c r="Z28" s="598"/>
      <c r="AA28" s="599"/>
      <c r="AB28" s="598"/>
      <c r="AC28" s="600"/>
      <c r="AD28" s="601"/>
      <c r="AE28" s="602"/>
      <c r="AF28" s="603"/>
      <c r="AG28" s="589"/>
      <c r="AH28" s="638"/>
      <c r="AI28" s="647"/>
      <c r="AJ28" s="604"/>
      <c r="AK28" s="628"/>
      <c r="AL28" s="589"/>
      <c r="AM28" s="657"/>
      <c r="AN28" s="837"/>
      <c r="AO28" s="606"/>
      <c r="AP28" s="606"/>
      <c r="AQ28" s="606"/>
      <c r="AR28" s="606"/>
      <c r="AS28" s="595"/>
      <c r="AT28" s="606"/>
      <c r="AU28" s="607"/>
      <c r="AV28" s="607"/>
      <c r="AW28" s="607"/>
      <c r="AX28" s="597"/>
    </row>
    <row r="29" spans="1:50" x14ac:dyDescent="0.2">
      <c r="A29" s="393" t="s">
        <v>293</v>
      </c>
      <c r="B29" s="394"/>
      <c r="C29" s="395"/>
      <c r="D29" s="396"/>
      <c r="E29" s="397"/>
      <c r="F29" s="397"/>
      <c r="G29" s="398"/>
      <c r="H29" s="398"/>
      <c r="I29" s="399"/>
      <c r="J29" s="398"/>
      <c r="K29" s="399"/>
      <c r="L29" s="398"/>
      <c r="M29" s="400"/>
      <c r="N29" s="398"/>
      <c r="O29" s="401"/>
      <c r="P29" s="402"/>
      <c r="Q29" s="403"/>
      <c r="R29" s="404"/>
      <c r="S29" s="404"/>
      <c r="T29" s="404"/>
      <c r="U29" s="405"/>
      <c r="V29" s="405"/>
      <c r="W29" s="405"/>
      <c r="X29" s="405"/>
      <c r="Y29" s="406"/>
      <c r="Z29" s="407"/>
      <c r="AA29" s="408"/>
      <c r="AB29" s="407"/>
      <c r="AC29" s="409"/>
      <c r="AD29" s="410"/>
      <c r="AE29" s="411"/>
      <c r="AF29" s="412"/>
      <c r="AG29" s="398"/>
      <c r="AH29" s="639"/>
      <c r="AI29" s="648"/>
      <c r="AJ29" s="413"/>
      <c r="AK29" s="629"/>
      <c r="AL29" s="398"/>
      <c r="AM29" s="658"/>
      <c r="AN29" s="838"/>
      <c r="AO29" s="333" t="str">
        <f ca="1">CONCATENATE("Bij van toepassing worden van een emissie-eis wordt een periodieke meting uitgevoerd",IF(OR(MW&lt;1,Offshore),IF(TSI&lt;0," en vervolgens vierjaarlijks",""),IF(MW&gt;20," en vervolgens jaarlijks"," en vervolgens driejaarlijks"))," (art. 4.1314). ",IF(OR(MW&lt;1,INGVAN&gt;=IWTMCP),"",CONCATENATE("Tot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9" s="333" t="s">
        <v>397</v>
      </c>
      <c r="AQ29" s="333" t="s">
        <v>246</v>
      </c>
      <c r="AR29" s="333" t="s">
        <v>247</v>
      </c>
      <c r="AS29" s="327"/>
      <c r="AT29" s="330"/>
      <c r="AU29" s="331"/>
      <c r="AV29" s="331"/>
      <c r="AW29" s="331"/>
      <c r="AX29" s="328"/>
    </row>
    <row r="30" spans="1:50" x14ac:dyDescent="0.2">
      <c r="A30" s="295"/>
      <c r="B30" s="339">
        <f t="shared" ref="B30:B54" ca="1" si="30">IF(AND(SUM(D30:K30,L30:M30)=COUNT(D30:K30,L30:M30),COUNT(D30:K30,L30:M30)&gt;0),ROW(B30),0)</f>
        <v>0</v>
      </c>
      <c r="C30" s="249">
        <f t="shared" ref="C30:C54" ca="1" si="31">IF(AND(SUM(D30:K30,N30:O30)=COUNT(D30:K30,N30:O30),COUNT(D30:K30,N30:O30)&gt;0),ROW(B30),0)</f>
        <v>0</v>
      </c>
      <c r="D30" s="246">
        <f t="shared" ref="D30:D54" ca="1" si="32">IF(AND(OR($Z30="",INGVAN="",$Z30&lt;=INGVAN),OR($Z30="",INGTOT="",$Z30&lt;=INGTOT),OR($AA30="",INGVAN="",$AA30&gt;=INGVAN),OR($AA30="",INGTOT="",$AA30&gt;=INGTOT)),1,0)</f>
        <v>1</v>
      </c>
      <c r="E30" s="247">
        <f t="shared" ref="E30:E77" ca="1" si="33">IF(AND(OR($AB30="",Tdatum&gt;=$AB30,AND(AB30&lt;&gt;"",ISNUMBER(FIND("j",LOWER(AD30))))),OR($AC30="",Tdatum&lt;=$AC30)),1,0)</f>
        <v>1</v>
      </c>
      <c r="F30" s="247">
        <f t="shared" ca="1" si="16"/>
        <v>1</v>
      </c>
      <c r="G30" s="147">
        <f ca="1">IF(SI=8,1,0)</f>
        <v>0</v>
      </c>
      <c r="H30" s="147"/>
      <c r="I30" s="148"/>
      <c r="J30" s="147"/>
      <c r="K30" s="148"/>
      <c r="L30" s="147"/>
      <c r="M30" s="248">
        <f t="shared" ref="M30:M54" ca="1" si="34">IF(AND(ParBAL1&lt;&gt;"",ParBAL1=P30),1,0)</f>
        <v>1</v>
      </c>
      <c r="N30" s="147"/>
      <c r="O30" s="249">
        <f t="shared" ref="O30:O54" ca="1" si="35">IF(AND(ParBAL2&lt;&gt;"",ParBAL2=P30),1,0)</f>
        <v>0</v>
      </c>
      <c r="P30" s="44" t="s">
        <v>106</v>
      </c>
      <c r="Q30" s="149" t="s">
        <v>229</v>
      </c>
      <c r="R30" s="149" t="s">
        <v>222</v>
      </c>
      <c r="S30" s="275"/>
      <c r="T30" s="149"/>
      <c r="U30" s="150"/>
      <c r="V30" s="150"/>
      <c r="W30" s="150"/>
      <c r="X30" s="150"/>
      <c r="Y30" s="151"/>
      <c r="Z30" s="143"/>
      <c r="AA30" s="144"/>
      <c r="AB30" s="143"/>
      <c r="AC30" s="145"/>
      <c r="AD30" s="146"/>
      <c r="AE30" s="276" t="s">
        <v>230</v>
      </c>
      <c r="AF30" s="152"/>
      <c r="AG30" s="153"/>
      <c r="AH30" s="636"/>
      <c r="AI30" s="645"/>
      <c r="AJ30" s="269"/>
      <c r="AK30" s="630"/>
      <c r="AL30" s="153"/>
      <c r="AM30" s="655"/>
      <c r="AN30" s="834"/>
      <c r="AO30" s="325" t="str">
        <f t="shared" ref="AO30:AR54" si="36">IF($AF30="","",AO$29)</f>
        <v/>
      </c>
      <c r="AP30" s="324" t="str">
        <f t="shared" si="36"/>
        <v/>
      </c>
      <c r="AQ30" s="324" t="str">
        <f t="shared" si="36"/>
        <v/>
      </c>
      <c r="AR30" s="324" t="str">
        <f t="shared" si="36"/>
        <v/>
      </c>
      <c r="AS30" s="149"/>
      <c r="AT30" s="149"/>
      <c r="AU30" s="150"/>
      <c r="AV30" s="150"/>
      <c r="AW30" s="150"/>
      <c r="AX30" s="158"/>
    </row>
    <row r="31" spans="1:50" x14ac:dyDescent="0.2">
      <c r="A31" s="295"/>
      <c r="B31" s="339">
        <f t="shared" ca="1" si="30"/>
        <v>0</v>
      </c>
      <c r="C31" s="249">
        <f t="shared" ca="1" si="31"/>
        <v>0</v>
      </c>
      <c r="D31" s="246">
        <f t="shared" ca="1" si="32"/>
        <v>1</v>
      </c>
      <c r="E31" s="247">
        <f t="shared" ca="1" si="33"/>
        <v>1</v>
      </c>
      <c r="F31" s="247">
        <f t="shared" ca="1" si="16"/>
        <v>1</v>
      </c>
      <c r="G31" s="147">
        <f t="shared" ref="G31:G39" ca="1" si="37">IF(SI&lt;=2,1,0)</f>
        <v>1</v>
      </c>
      <c r="H31" s="147"/>
      <c r="I31" s="148"/>
      <c r="J31" s="147"/>
      <c r="K31" s="148"/>
      <c r="L31" s="147">
        <f ca="1">IF(OR(BRAND1=6,BRAND1=7),1,0)</f>
        <v>0</v>
      </c>
      <c r="M31" s="248">
        <f t="shared" ca="1" si="34"/>
        <v>1</v>
      </c>
      <c r="N31" s="147">
        <f ca="1">IF(OR(BRAND2=6,BRAND2=7),1,0)</f>
        <v>0</v>
      </c>
      <c r="O31" s="249">
        <f t="shared" ca="1" si="35"/>
        <v>0</v>
      </c>
      <c r="P31" s="44" t="s">
        <v>106</v>
      </c>
      <c r="Q31" s="149" t="s">
        <v>204</v>
      </c>
      <c r="R31" s="149" t="s">
        <v>208</v>
      </c>
      <c r="S31" s="275">
        <v>0.40010000000000001</v>
      </c>
      <c r="T31" s="149"/>
      <c r="U31" s="150"/>
      <c r="V31" s="150"/>
      <c r="W31" s="150"/>
      <c r="X31" s="150"/>
      <c r="Y31" s="151"/>
      <c r="Z31" s="143"/>
      <c r="AA31" s="144"/>
      <c r="AB31" s="143"/>
      <c r="AC31" s="145"/>
      <c r="AD31" s="146"/>
      <c r="AE31" s="276" t="s">
        <v>205</v>
      </c>
      <c r="AF31" s="152" t="s">
        <v>274</v>
      </c>
      <c r="AG31" s="153"/>
      <c r="AH31" s="636" t="str">
        <f ca="1">IF(AND(MW&lt;1,INGTOT&lt;=SCPbest)," geldt vanaf een ingrijpende wijziging (art. 4.1332 3e lid)","")</f>
        <v/>
      </c>
      <c r="AI31" s="645"/>
      <c r="AJ31" s="269"/>
      <c r="AK31" s="630"/>
      <c r="AL31" s="153"/>
      <c r="AM31" s="655"/>
      <c r="AN31" s="834"/>
      <c r="AO31" s="325" t="str">
        <f ca="1">IF($AF31="","",AO$29)</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1"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31" s="324" t="str">
        <f t="shared" si="36"/>
        <v>De aangetoonde meetonzekerheid mag niet groter zijn dan 20% van de emissie-eis (art. 4.1312 en art. 4.1319).</v>
      </c>
      <c r="AR31"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1" s="149"/>
      <c r="AT31" s="149"/>
      <c r="AU31" s="150"/>
      <c r="AV31" s="150"/>
      <c r="AW31" s="150"/>
      <c r="AX31" s="151"/>
    </row>
    <row r="32" spans="1:50" x14ac:dyDescent="0.2">
      <c r="A32" s="295"/>
      <c r="B32" s="339">
        <f t="shared" ca="1" si="30"/>
        <v>0</v>
      </c>
      <c r="C32" s="249">
        <f t="shared" ca="1" si="31"/>
        <v>0</v>
      </c>
      <c r="D32" s="246">
        <f t="shared" ca="1" si="32"/>
        <v>1</v>
      </c>
      <c r="E32" s="247">
        <f t="shared" ca="1" si="33"/>
        <v>1</v>
      </c>
      <c r="F32" s="247">
        <f t="shared" ca="1" si="16"/>
        <v>0</v>
      </c>
      <c r="G32" s="147">
        <f t="shared" ca="1" si="37"/>
        <v>1</v>
      </c>
      <c r="H32" s="147"/>
      <c r="I32" s="148"/>
      <c r="J32" s="147"/>
      <c r="K32" s="148"/>
      <c r="L32" s="147">
        <f ca="1">IF(AND(BRAND1&gt;=8,BRAND1&lt;=10),1,0)</f>
        <v>0</v>
      </c>
      <c r="M32" s="248">
        <f t="shared" ca="1" si="34"/>
        <v>1</v>
      </c>
      <c r="N32" s="147">
        <f ca="1">IF(AND(BRAND2&gt;=8,BRAND2&lt;=10),1,0)</f>
        <v>0</v>
      </c>
      <c r="O32" s="249">
        <f t="shared" ca="1" si="35"/>
        <v>0</v>
      </c>
      <c r="P32" s="44" t="s">
        <v>106</v>
      </c>
      <c r="Q32" s="149" t="s">
        <v>204</v>
      </c>
      <c r="R32" s="149" t="s">
        <v>206</v>
      </c>
      <c r="S32" s="275">
        <v>0.1</v>
      </c>
      <c r="T32" s="149">
        <v>0.5</v>
      </c>
      <c r="U32" s="150"/>
      <c r="V32" s="150"/>
      <c r="W32" s="150"/>
      <c r="X32" s="150"/>
      <c r="Y32" s="151"/>
      <c r="Z32" s="143"/>
      <c r="AA32" s="144"/>
      <c r="AB32" s="143"/>
      <c r="AC32" s="145"/>
      <c r="AD32" s="146"/>
      <c r="AE32" s="276" t="str">
        <f t="shared" ref="AE32:AE39" si="38">AE31</f>
        <v>4.1303</v>
      </c>
      <c r="AF32" s="152" t="s">
        <v>274</v>
      </c>
      <c r="AG32" s="153"/>
      <c r="AH32" s="636"/>
      <c r="AI32" s="645"/>
      <c r="AJ32" s="269"/>
      <c r="AK32" s="630"/>
      <c r="AL32" s="153"/>
      <c r="AM32" s="655"/>
      <c r="AN32" s="834"/>
      <c r="AO32" s="325" t="str">
        <f t="shared" ref="AO32:AO54" ca="1" si="39">IF($AF32="","",AO$29)</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2"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32" s="324" t="str">
        <f t="shared" si="36"/>
        <v>De aangetoonde meetonzekerheid mag niet groter zijn dan 20% van de emissie-eis (art. 4.1312 en art. 4.1319).</v>
      </c>
      <c r="AR32"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2" s="149"/>
      <c r="AT32" s="149"/>
      <c r="AU32" s="150"/>
      <c r="AV32" s="150"/>
      <c r="AW32" s="150"/>
      <c r="AX32" s="158"/>
    </row>
    <row r="33" spans="1:50" x14ac:dyDescent="0.2">
      <c r="A33" s="295"/>
      <c r="B33" s="745">
        <f t="shared" ref="B33" ca="1" si="40">IF(AND(SUM(D33:K33,L33:M33)=COUNT(D33:K33,L33:M33),COUNT(D33:K33,L33:M33)&gt;0),ROW(B33),0)</f>
        <v>0</v>
      </c>
      <c r="C33" s="249">
        <f t="shared" ref="C33" ca="1" si="41">IF(AND(SUM(D33:K33,N33:O33)=COUNT(D33:K33,N33:O33),COUNT(D33:K33,N33:O33)&gt;0),ROW(B33),0)</f>
        <v>0</v>
      </c>
      <c r="D33" s="246">
        <f t="shared" ca="1" si="32"/>
        <v>1</v>
      </c>
      <c r="E33" s="247">
        <f t="shared" ref="E33" ca="1" si="42">IF(AND(OR($AB33="",Tdatum&gt;=$AB33,AND(AB33&lt;&gt;"",ISNUMBER(FIND("j",LOWER(AD33))))),OR($AC33="",Tdatum&lt;=$AC33)),1,0)</f>
        <v>1</v>
      </c>
      <c r="F33" s="247">
        <f t="shared" ca="1" si="16"/>
        <v>0</v>
      </c>
      <c r="G33" s="147">
        <f t="shared" ca="1" si="37"/>
        <v>1</v>
      </c>
      <c r="H33" s="147"/>
      <c r="I33" s="148"/>
      <c r="J33" s="147"/>
      <c r="K33" s="148"/>
      <c r="L33" s="147">
        <f ca="1">IF(AND(BRAND1&gt;=8,BRAND1&lt;=10),1,0)</f>
        <v>0</v>
      </c>
      <c r="M33" s="248">
        <f t="shared" ref="M33" ca="1" si="43">IF(AND(ParBAL1&lt;&gt;"",ParBAL1=P33),1,0)</f>
        <v>1</v>
      </c>
      <c r="N33" s="147">
        <f ca="1">IF(AND(BRAND2&gt;=8,BRAND2&lt;=10),1,0)</f>
        <v>0</v>
      </c>
      <c r="O33" s="249">
        <f t="shared" ref="O33" ca="1" si="44">IF(AND(ParBAL2&lt;&gt;"",ParBAL2=P33),1,0)</f>
        <v>0</v>
      </c>
      <c r="P33" s="44" t="s">
        <v>106</v>
      </c>
      <c r="Q33" s="149" t="s">
        <v>204</v>
      </c>
      <c r="R33" s="149" t="s">
        <v>206</v>
      </c>
      <c r="S33" s="275">
        <v>0.5</v>
      </c>
      <c r="T33" s="149">
        <v>1</v>
      </c>
      <c r="U33" s="150"/>
      <c r="V33" s="150"/>
      <c r="W33" s="150"/>
      <c r="X33" s="150"/>
      <c r="Y33" s="151"/>
      <c r="Z33" s="143"/>
      <c r="AA33" s="144"/>
      <c r="AB33" s="143"/>
      <c r="AC33" s="145"/>
      <c r="AD33" s="146"/>
      <c r="AE33" s="276" t="str">
        <f t="shared" si="38"/>
        <v>4.1303</v>
      </c>
      <c r="AF33" s="762" t="s">
        <v>122</v>
      </c>
      <c r="AG33" s="153"/>
      <c r="AH33" s="636"/>
      <c r="AI33" s="645"/>
      <c r="AJ33" s="269"/>
      <c r="AK33" s="630"/>
      <c r="AL33" s="153"/>
      <c r="AM33" s="655"/>
      <c r="AN33" s="834"/>
      <c r="AO33"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33" s="324" t="str">
        <f t="shared" si="36"/>
        <v>De aangetoonde meetonzekerheid mag niet groter zijn dan 20% van de emissie-eis (art. 4.1312 en art. 4.1319).</v>
      </c>
      <c r="AR33"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9"/>
      <c r="AT33" s="149"/>
      <c r="AU33" s="150"/>
      <c r="AV33" s="150"/>
      <c r="AW33" s="150"/>
      <c r="AX33" s="158"/>
    </row>
    <row r="34" spans="1:50" x14ac:dyDescent="0.2">
      <c r="A34" s="295"/>
      <c r="B34" s="745">
        <f t="shared" ca="1" si="30"/>
        <v>0</v>
      </c>
      <c r="C34" s="249">
        <f t="shared" ca="1" si="31"/>
        <v>0</v>
      </c>
      <c r="D34" s="246">
        <f t="shared" ca="1" si="32"/>
        <v>1</v>
      </c>
      <c r="E34" s="247">
        <f t="shared" ca="1" si="33"/>
        <v>1</v>
      </c>
      <c r="F34" s="247">
        <f t="shared" ca="1" si="16"/>
        <v>0</v>
      </c>
      <c r="G34" s="147">
        <f t="shared" ca="1" si="37"/>
        <v>1</v>
      </c>
      <c r="H34" s="147"/>
      <c r="I34" s="148"/>
      <c r="J34" s="147"/>
      <c r="K34" s="148"/>
      <c r="L34" s="147">
        <f ca="1">IF(AND(BRAND1&gt;=8,BRAND1&lt;=10),1,0)</f>
        <v>0</v>
      </c>
      <c r="M34" s="248">
        <f t="shared" ca="1" si="34"/>
        <v>1</v>
      </c>
      <c r="N34" s="147">
        <f ca="1">IF(AND(BRAND2&gt;=8,BRAND2&lt;=10),1,0)</f>
        <v>0</v>
      </c>
      <c r="O34" s="249">
        <f t="shared" ca="1" si="35"/>
        <v>0</v>
      </c>
      <c r="P34" s="44" t="s">
        <v>106</v>
      </c>
      <c r="Q34" s="149" t="s">
        <v>204</v>
      </c>
      <c r="R34" s="149" t="s">
        <v>206</v>
      </c>
      <c r="S34" s="149">
        <v>1</v>
      </c>
      <c r="T34" s="149">
        <v>5</v>
      </c>
      <c r="U34" s="150"/>
      <c r="V34" s="150"/>
      <c r="W34" s="150"/>
      <c r="X34" s="150"/>
      <c r="Y34" s="151"/>
      <c r="Z34" s="143"/>
      <c r="AA34" s="144"/>
      <c r="AB34" s="143"/>
      <c r="AC34" s="145"/>
      <c r="AD34" s="146"/>
      <c r="AE34" s="276" t="str">
        <f>AE32</f>
        <v>4.1303</v>
      </c>
      <c r="AF34" s="762" t="s">
        <v>122</v>
      </c>
      <c r="AG34" s="153"/>
      <c r="AH34" s="636"/>
      <c r="AI34" s="645"/>
      <c r="AJ34" s="269"/>
      <c r="AK34" s="630"/>
      <c r="AL34" s="153"/>
      <c r="AM34" s="655"/>
      <c r="AN34" s="834"/>
      <c r="AO34"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4"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34" s="324" t="str">
        <f t="shared" si="36"/>
        <v>De aangetoonde meetonzekerheid mag niet groter zijn dan 20% van de emissie-eis (art. 4.1312 en art. 4.1319).</v>
      </c>
      <c r="AR34"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4" s="149"/>
      <c r="AT34" s="149"/>
      <c r="AU34" s="150"/>
      <c r="AV34" s="150"/>
      <c r="AW34" s="150"/>
      <c r="AX34" s="151"/>
    </row>
    <row r="35" spans="1:50" x14ac:dyDescent="0.2">
      <c r="A35" s="295"/>
      <c r="B35" s="745">
        <f t="shared" ca="1" si="30"/>
        <v>0</v>
      </c>
      <c r="C35" s="249">
        <f t="shared" ca="1" si="31"/>
        <v>0</v>
      </c>
      <c r="D35" s="246">
        <f t="shared" ca="1" si="32"/>
        <v>1</v>
      </c>
      <c r="E35" s="247">
        <f t="shared" ca="1" si="33"/>
        <v>1</v>
      </c>
      <c r="F35" s="247">
        <f t="shared" ca="1" si="16"/>
        <v>1</v>
      </c>
      <c r="G35" s="147">
        <f t="shared" ca="1" si="37"/>
        <v>1</v>
      </c>
      <c r="H35" s="147"/>
      <c r="I35" s="148"/>
      <c r="J35" s="147"/>
      <c r="K35" s="148"/>
      <c r="L35" s="147">
        <f ca="1">IF(AND(BRAND1&gt;=8,BRAND1&lt;=10),1,0)</f>
        <v>0</v>
      </c>
      <c r="M35" s="248">
        <f t="shared" ca="1" si="34"/>
        <v>1</v>
      </c>
      <c r="N35" s="147">
        <f ca="1">IF(AND(BRAND2&gt;=8,BRAND2&lt;=10),1,0)</f>
        <v>0</v>
      </c>
      <c r="O35" s="249">
        <f t="shared" ca="1" si="35"/>
        <v>0</v>
      </c>
      <c r="P35" s="44" t="s">
        <v>106</v>
      </c>
      <c r="Q35" s="149" t="s">
        <v>204</v>
      </c>
      <c r="R35" s="149" t="s">
        <v>206</v>
      </c>
      <c r="S35" s="149">
        <v>5</v>
      </c>
      <c r="T35" s="149"/>
      <c r="U35" s="150"/>
      <c r="V35" s="150"/>
      <c r="W35" s="150"/>
      <c r="X35" s="150"/>
      <c r="Y35" s="151"/>
      <c r="Z35" s="143"/>
      <c r="AA35" s="144"/>
      <c r="AB35" s="143"/>
      <c r="AC35" s="145"/>
      <c r="AD35" s="146"/>
      <c r="AE35" s="276" t="str">
        <f t="shared" si="38"/>
        <v>4.1303</v>
      </c>
      <c r="AF35" s="762" t="s">
        <v>161</v>
      </c>
      <c r="AG35" s="153"/>
      <c r="AH35" s="636"/>
      <c r="AI35" s="645"/>
      <c r="AJ35" s="269"/>
      <c r="AK35" s="630"/>
      <c r="AL35" s="153"/>
      <c r="AM35" s="655"/>
      <c r="AN35" s="834"/>
      <c r="AO35"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5"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35" s="324" t="str">
        <f t="shared" si="36"/>
        <v>De aangetoonde meetonzekerheid mag niet groter zijn dan 20% van de emissie-eis (art. 4.1312 en art. 4.1319).</v>
      </c>
      <c r="AR35"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5" s="149"/>
      <c r="AT35" s="149"/>
      <c r="AU35" s="150"/>
      <c r="AV35" s="150"/>
      <c r="AW35" s="150"/>
      <c r="AX35" s="151"/>
    </row>
    <row r="36" spans="1:50" x14ac:dyDescent="0.2">
      <c r="A36" s="295"/>
      <c r="B36" s="339">
        <f t="shared" ca="1" si="30"/>
        <v>0</v>
      </c>
      <c r="C36" s="249">
        <f t="shared" ca="1" si="31"/>
        <v>0</v>
      </c>
      <c r="D36" s="246">
        <f t="shared" ca="1" si="32"/>
        <v>1</v>
      </c>
      <c r="E36" s="247">
        <f t="shared" ca="1" si="33"/>
        <v>1</v>
      </c>
      <c r="F36" s="247">
        <f t="shared" ca="1" si="16"/>
        <v>0</v>
      </c>
      <c r="G36" s="147">
        <f t="shared" ca="1" si="37"/>
        <v>1</v>
      </c>
      <c r="H36" s="147"/>
      <c r="I36" s="148"/>
      <c r="J36" s="147"/>
      <c r="K36" s="148"/>
      <c r="L36" s="147">
        <f ca="1">IF(BRAND1=3,1,0)</f>
        <v>0</v>
      </c>
      <c r="M36" s="248">
        <f t="shared" ca="1" si="34"/>
        <v>1</v>
      </c>
      <c r="N36" s="147">
        <f ca="1">IF(BRAND2=3,1,0)</f>
        <v>0</v>
      </c>
      <c r="O36" s="249">
        <f t="shared" ca="1" si="35"/>
        <v>0</v>
      </c>
      <c r="P36" s="44" t="s">
        <v>106</v>
      </c>
      <c r="Q36" s="149" t="s">
        <v>204</v>
      </c>
      <c r="R36" s="149" t="s">
        <v>215</v>
      </c>
      <c r="S36" s="275">
        <f>S31</f>
        <v>0.40010000000000001</v>
      </c>
      <c r="T36" s="149">
        <v>1</v>
      </c>
      <c r="U36" s="150"/>
      <c r="V36" s="150"/>
      <c r="W36" s="150"/>
      <c r="X36" s="150"/>
      <c r="Y36" s="151"/>
      <c r="Z36" s="143"/>
      <c r="AA36" s="144"/>
      <c r="AB36" s="143"/>
      <c r="AC36" s="145"/>
      <c r="AD36" s="146"/>
      <c r="AE36" s="276" t="str">
        <f t="shared" si="38"/>
        <v>4.1303</v>
      </c>
      <c r="AF36" s="152" t="s">
        <v>274</v>
      </c>
      <c r="AG36" s="147"/>
      <c r="AH36" s="636" t="str">
        <f ca="1">IF(INGTOT&lt;=SCPbest," geldt vanaf een ingrijpende wijziging (art. 4.1332 3e lid)","")</f>
        <v xml:space="preserve"> geldt vanaf een ingrijpende wijziging (art. 4.1332 3e lid)</v>
      </c>
      <c r="AI36" s="645"/>
      <c r="AJ36" s="269"/>
      <c r="AK36" s="626"/>
      <c r="AL36" s="147"/>
      <c r="AM36" s="655"/>
      <c r="AN36" s="834"/>
      <c r="AO36"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36" s="324" t="str">
        <f t="shared" si="36"/>
        <v>De aangetoonde meetonzekerheid mag niet groter zijn dan 20% van de emissie-eis (art. 4.1312 en art. 4.1319).</v>
      </c>
      <c r="AR36"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9"/>
      <c r="AT36" s="149"/>
      <c r="AU36" s="150"/>
      <c r="AV36" s="150"/>
      <c r="AW36" s="150"/>
      <c r="AX36" s="151"/>
    </row>
    <row r="37" spans="1:50" x14ac:dyDescent="0.2">
      <c r="A37" s="295"/>
      <c r="B37" s="339">
        <f t="shared" ca="1" si="30"/>
        <v>0</v>
      </c>
      <c r="C37" s="249">
        <f t="shared" ca="1" si="31"/>
        <v>0</v>
      </c>
      <c r="D37" s="246">
        <f t="shared" ca="1" si="32"/>
        <v>1</v>
      </c>
      <c r="E37" s="247">
        <f t="shared" ca="1" si="33"/>
        <v>1</v>
      </c>
      <c r="F37" s="247">
        <f t="shared" ca="1" si="16"/>
        <v>1</v>
      </c>
      <c r="G37" s="147">
        <f t="shared" ca="1" si="37"/>
        <v>1</v>
      </c>
      <c r="H37" s="147"/>
      <c r="I37" s="148"/>
      <c r="J37" s="147"/>
      <c r="K37" s="148"/>
      <c r="L37" s="147">
        <f ca="1">IF(BRAND1=3,1,0)</f>
        <v>0</v>
      </c>
      <c r="M37" s="248">
        <f t="shared" ca="1" si="34"/>
        <v>1</v>
      </c>
      <c r="N37" s="147">
        <f ca="1">IF(BRAND2=3,1,0)</f>
        <v>0</v>
      </c>
      <c r="O37" s="249">
        <f t="shared" ca="1" si="35"/>
        <v>0</v>
      </c>
      <c r="P37" s="44" t="s">
        <v>106</v>
      </c>
      <c r="Q37" s="149" t="s">
        <v>204</v>
      </c>
      <c r="R37" s="149" t="s">
        <v>215</v>
      </c>
      <c r="S37" s="149">
        <v>1</v>
      </c>
      <c r="T37" s="149"/>
      <c r="U37" s="150"/>
      <c r="V37" s="150"/>
      <c r="W37" s="150"/>
      <c r="X37" s="150"/>
      <c r="Y37" s="151"/>
      <c r="Z37" s="143"/>
      <c r="AA37" s="144"/>
      <c r="AB37" s="143"/>
      <c r="AC37" s="145"/>
      <c r="AD37" s="146"/>
      <c r="AE37" s="276" t="str">
        <f t="shared" si="38"/>
        <v>4.1303</v>
      </c>
      <c r="AF37" s="152" t="s">
        <v>122</v>
      </c>
      <c r="AG37" s="147"/>
      <c r="AH37" s="636"/>
      <c r="AI37" s="645"/>
      <c r="AJ37" s="269"/>
      <c r="AK37" s="626"/>
      <c r="AL37" s="147"/>
      <c r="AM37" s="655"/>
      <c r="AN37" s="834"/>
      <c r="AO37"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37" s="324" t="str">
        <f t="shared" si="36"/>
        <v>De aangetoonde meetonzekerheid mag niet groter zijn dan 20% van de emissie-eis (art. 4.1312 en art. 4.1319).</v>
      </c>
      <c r="AR37"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9"/>
      <c r="AT37" s="149"/>
      <c r="AU37" s="150"/>
      <c r="AV37" s="150"/>
      <c r="AW37" s="150"/>
      <c r="AX37" s="151"/>
    </row>
    <row r="38" spans="1:50" x14ac:dyDescent="0.2">
      <c r="A38" s="295"/>
      <c r="B38" s="339">
        <f t="shared" ca="1" si="30"/>
        <v>38</v>
      </c>
      <c r="C38" s="249">
        <f t="shared" ca="1" si="31"/>
        <v>0</v>
      </c>
      <c r="D38" s="246">
        <f t="shared" ca="1" si="32"/>
        <v>1</v>
      </c>
      <c r="E38" s="247">
        <f t="shared" ca="1" si="33"/>
        <v>1</v>
      </c>
      <c r="F38" s="247">
        <f t="shared" ca="1" si="16"/>
        <v>1</v>
      </c>
      <c r="G38" s="147">
        <f t="shared" ca="1" si="37"/>
        <v>1</v>
      </c>
      <c r="H38" s="147"/>
      <c r="I38" s="148"/>
      <c r="J38" s="147"/>
      <c r="K38" s="148"/>
      <c r="L38" s="147">
        <f ca="1">IF(BRAND1&lt;=2,1,0)</f>
        <v>1</v>
      </c>
      <c r="M38" s="248">
        <f t="shared" ca="1" si="34"/>
        <v>1</v>
      </c>
      <c r="N38" s="147">
        <f ca="1">IF(BRAND2&lt;=2,1,0)</f>
        <v>0</v>
      </c>
      <c r="O38" s="249">
        <f t="shared" ca="1" si="35"/>
        <v>0</v>
      </c>
      <c r="P38" s="44" t="s">
        <v>106</v>
      </c>
      <c r="Q38" s="149" t="s">
        <v>204</v>
      </c>
      <c r="R38" s="149" t="s">
        <v>180</v>
      </c>
      <c r="S38" s="275">
        <f>S31</f>
        <v>0.40010000000000001</v>
      </c>
      <c r="T38" s="149"/>
      <c r="U38" s="150"/>
      <c r="V38" s="150"/>
      <c r="W38" s="150"/>
      <c r="X38" s="150"/>
      <c r="Y38" s="151"/>
      <c r="Z38" s="143"/>
      <c r="AA38" s="144"/>
      <c r="AB38" s="143"/>
      <c r="AC38" s="145"/>
      <c r="AD38" s="146"/>
      <c r="AE38" s="276" t="str">
        <f t="shared" si="38"/>
        <v>4.1303</v>
      </c>
      <c r="AF38" s="152"/>
      <c r="AG38" s="147"/>
      <c r="AH38" s="636" t="str">
        <f ca="1">IF(AND(MW&lt;1,INGTOT&lt;=SCPbest)," geldt vanaf een ingrijpende wijziging (art. 4.1332 3e lid)","")</f>
        <v/>
      </c>
      <c r="AI38" s="645"/>
      <c r="AJ38" s="269"/>
      <c r="AK38" s="626"/>
      <c r="AL38" s="147"/>
      <c r="AM38" s="655"/>
      <c r="AN38" s="834"/>
      <c r="AO38" s="325" t="str">
        <f t="shared" si="39"/>
        <v/>
      </c>
      <c r="AP38" s="324" t="str">
        <f t="shared" si="36"/>
        <v/>
      </c>
      <c r="AQ38" s="324" t="str">
        <f t="shared" si="36"/>
        <v/>
      </c>
      <c r="AR38" s="324" t="str">
        <f t="shared" si="36"/>
        <v/>
      </c>
      <c r="AS38" s="149"/>
      <c r="AT38" s="149"/>
      <c r="AU38" s="150"/>
      <c r="AV38" s="150"/>
      <c r="AW38" s="150"/>
      <c r="AX38" s="151"/>
    </row>
    <row r="39" spans="1:50" x14ac:dyDescent="0.2">
      <c r="A39" s="295"/>
      <c r="B39" s="339">
        <f t="shared" ca="1" si="30"/>
        <v>0</v>
      </c>
      <c r="C39" s="249">
        <f t="shared" ca="1" si="31"/>
        <v>0</v>
      </c>
      <c r="D39" s="246">
        <f t="shared" ca="1" si="32"/>
        <v>1</v>
      </c>
      <c r="E39" s="247">
        <f t="shared" ca="1" si="33"/>
        <v>1</v>
      </c>
      <c r="F39" s="247">
        <f t="shared" ca="1" si="16"/>
        <v>1</v>
      </c>
      <c r="G39" s="147">
        <f t="shared" ca="1" si="37"/>
        <v>1</v>
      </c>
      <c r="H39" s="147"/>
      <c r="I39" s="148"/>
      <c r="J39" s="147"/>
      <c r="K39" s="148"/>
      <c r="L39" s="147">
        <f ca="1">IF(OR(BRAND1=4,BRAND1=5),1,0)</f>
        <v>0</v>
      </c>
      <c r="M39" s="248">
        <f t="shared" ca="1" si="34"/>
        <v>1</v>
      </c>
      <c r="N39" s="147">
        <f ca="1">IF(OR(BRAND2=4,BRAND2=5),1,0)</f>
        <v>0</v>
      </c>
      <c r="O39" s="249">
        <f t="shared" ca="1" si="35"/>
        <v>0</v>
      </c>
      <c r="P39" s="44" t="s">
        <v>106</v>
      </c>
      <c r="Q39" s="149" t="s">
        <v>204</v>
      </c>
      <c r="R39" s="149" t="s">
        <v>217</v>
      </c>
      <c r="S39" s="275">
        <f>S31</f>
        <v>0.40010000000000001</v>
      </c>
      <c r="T39" s="149"/>
      <c r="U39" s="150"/>
      <c r="V39" s="150"/>
      <c r="W39" s="150"/>
      <c r="X39" s="150"/>
      <c r="Y39" s="151"/>
      <c r="Z39" s="143"/>
      <c r="AA39" s="144"/>
      <c r="AB39" s="143"/>
      <c r="AC39" s="145"/>
      <c r="AD39" s="146"/>
      <c r="AE39" s="276" t="str">
        <f t="shared" si="38"/>
        <v>4.1303</v>
      </c>
      <c r="AF39" s="152"/>
      <c r="AG39" s="147"/>
      <c r="AH39" s="636" t="str">
        <f ca="1">IF(AND(MW&lt;1,INGTOT&lt;=SCPbest)," geldt vanaf een ingrijpende wijziging (art. 4.1332 3e lid)","")</f>
        <v/>
      </c>
      <c r="AI39" s="645"/>
      <c r="AJ39" s="269"/>
      <c r="AK39" s="626"/>
      <c r="AL39" s="147"/>
      <c r="AM39" s="655"/>
      <c r="AN39" s="834"/>
      <c r="AO39" s="325" t="str">
        <f t="shared" si="39"/>
        <v/>
      </c>
      <c r="AP39" s="324" t="str">
        <f t="shared" si="36"/>
        <v/>
      </c>
      <c r="AQ39" s="324" t="str">
        <f t="shared" si="36"/>
        <v/>
      </c>
      <c r="AR39" s="324" t="str">
        <f t="shared" si="36"/>
        <v/>
      </c>
      <c r="AS39" s="149"/>
      <c r="AT39" s="149"/>
      <c r="AU39" s="150"/>
      <c r="AV39" s="150"/>
      <c r="AW39" s="150"/>
      <c r="AX39" s="151"/>
    </row>
    <row r="40" spans="1:50" x14ac:dyDescent="0.2">
      <c r="A40" s="295"/>
      <c r="B40" s="339">
        <f t="shared" ca="1" si="30"/>
        <v>0</v>
      </c>
      <c r="C40" s="249">
        <f t="shared" ca="1" si="31"/>
        <v>0</v>
      </c>
      <c r="D40" s="246">
        <f t="shared" ca="1" si="32"/>
        <v>1</v>
      </c>
      <c r="E40" s="247">
        <f t="shared" ca="1" si="33"/>
        <v>1</v>
      </c>
      <c r="F40" s="247">
        <f t="shared" ca="1" si="16"/>
        <v>1</v>
      </c>
      <c r="G40" s="147">
        <f ca="1">IF(SI=3,1,0)</f>
        <v>0</v>
      </c>
      <c r="H40" s="147"/>
      <c r="I40" s="148"/>
      <c r="J40" s="147"/>
      <c r="K40" s="148"/>
      <c r="L40" s="147">
        <f ca="1">IF(FBRAND1="l",1,0)</f>
        <v>0</v>
      </c>
      <c r="M40" s="248">
        <f t="shared" ca="1" si="34"/>
        <v>1</v>
      </c>
      <c r="N40" s="147">
        <f ca="1">IF(FBRAND2="l",1,0)</f>
        <v>0</v>
      </c>
      <c r="O40" s="249">
        <f t="shared" ca="1" si="35"/>
        <v>0</v>
      </c>
      <c r="P40" s="44" t="s">
        <v>106</v>
      </c>
      <c r="Q40" s="149" t="s">
        <v>270</v>
      </c>
      <c r="R40" s="149" t="s">
        <v>173</v>
      </c>
      <c r="S40" s="275">
        <v>0.1</v>
      </c>
      <c r="T40" s="149"/>
      <c r="U40" s="150"/>
      <c r="V40" s="150"/>
      <c r="W40" s="150"/>
      <c r="X40" s="150"/>
      <c r="Y40" s="151"/>
      <c r="Z40" s="143"/>
      <c r="AA40" s="144"/>
      <c r="AB40" s="143"/>
      <c r="AC40" s="145"/>
      <c r="AD40" s="146"/>
      <c r="AE40" s="277" t="s">
        <v>219</v>
      </c>
      <c r="AF40" s="152" t="s">
        <v>385</v>
      </c>
      <c r="AG40" s="147"/>
      <c r="AH40" s="636"/>
      <c r="AI40" s="645"/>
      <c r="AJ40" s="269"/>
      <c r="AK40" s="626"/>
      <c r="AL40" s="147"/>
      <c r="AM40" s="655"/>
      <c r="AN40" s="834"/>
      <c r="AO40"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0"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40" s="324" t="str">
        <f t="shared" si="36"/>
        <v>De aangetoonde meetonzekerheid mag niet groter zijn dan 20% van de emissie-eis (art. 4.1312 en art. 4.1319).</v>
      </c>
      <c r="AR40"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0" s="149"/>
      <c r="AT40" s="149"/>
      <c r="AU40" s="150"/>
      <c r="AV40" s="150"/>
      <c r="AW40" s="150"/>
      <c r="AX40" s="151"/>
    </row>
    <row r="41" spans="1:50" x14ac:dyDescent="0.2">
      <c r="A41" s="295"/>
      <c r="B41" s="339">
        <f t="shared" ca="1" si="30"/>
        <v>0</v>
      </c>
      <c r="C41" s="249">
        <f t="shared" ca="1" si="31"/>
        <v>0</v>
      </c>
      <c r="D41" s="246">
        <f t="shared" ca="1" si="32"/>
        <v>1</v>
      </c>
      <c r="E41" s="247">
        <f t="shared" ca="1" si="33"/>
        <v>1</v>
      </c>
      <c r="F41" s="247">
        <f t="shared" ca="1" si="16"/>
        <v>1</v>
      </c>
      <c r="G41" s="147">
        <f ca="1">IF(SI=3,1,0)</f>
        <v>0</v>
      </c>
      <c r="H41" s="147"/>
      <c r="I41" s="148"/>
      <c r="J41" s="147"/>
      <c r="K41" s="148"/>
      <c r="L41" s="147">
        <f ca="1">IF(BRAND1&lt;=2,1,0)</f>
        <v>1</v>
      </c>
      <c r="M41" s="248">
        <f t="shared" ca="1" si="34"/>
        <v>1</v>
      </c>
      <c r="N41" s="147">
        <f ca="1">IF(BRAND2&lt;=2,1,0)</f>
        <v>0</v>
      </c>
      <c r="O41" s="249">
        <f t="shared" ca="1" si="35"/>
        <v>0</v>
      </c>
      <c r="P41" s="44" t="s">
        <v>106</v>
      </c>
      <c r="Q41" s="149" t="s">
        <v>270</v>
      </c>
      <c r="R41" s="149" t="s">
        <v>180</v>
      </c>
      <c r="S41" s="275">
        <v>0.1</v>
      </c>
      <c r="T41" s="149"/>
      <c r="U41" s="150"/>
      <c r="V41" s="150"/>
      <c r="W41" s="150"/>
      <c r="X41" s="150"/>
      <c r="Y41" s="151"/>
      <c r="Z41" s="143"/>
      <c r="AA41" s="144"/>
      <c r="AB41" s="143"/>
      <c r="AC41" s="145"/>
      <c r="AD41" s="146"/>
      <c r="AE41" s="276" t="str">
        <f>AE40</f>
        <v>4.1304</v>
      </c>
      <c r="AF41" s="152"/>
      <c r="AG41" s="147"/>
      <c r="AH41" s="636"/>
      <c r="AI41" s="645"/>
      <c r="AJ41" s="269"/>
      <c r="AK41" s="626"/>
      <c r="AL41" s="147"/>
      <c r="AM41" s="655"/>
      <c r="AN41" s="834"/>
      <c r="AO41" s="325" t="str">
        <f t="shared" si="39"/>
        <v/>
      </c>
      <c r="AP41" s="324" t="str">
        <f t="shared" si="36"/>
        <v/>
      </c>
      <c r="AQ41" s="324" t="str">
        <f t="shared" si="36"/>
        <v/>
      </c>
      <c r="AR41" s="324" t="str">
        <f t="shared" si="36"/>
        <v/>
      </c>
      <c r="AS41" s="149"/>
      <c r="AT41" s="149"/>
      <c r="AU41" s="150"/>
      <c r="AV41" s="150"/>
      <c r="AW41" s="150"/>
      <c r="AX41" s="151"/>
    </row>
    <row r="42" spans="1:50" x14ac:dyDescent="0.2">
      <c r="A42" s="295"/>
      <c r="B42" s="339">
        <f t="shared" ca="1" si="30"/>
        <v>0</v>
      </c>
      <c r="C42" s="249">
        <f t="shared" ca="1" si="31"/>
        <v>0</v>
      </c>
      <c r="D42" s="246">
        <f t="shared" ca="1" si="32"/>
        <v>1</v>
      </c>
      <c r="E42" s="247">
        <f t="shared" ca="1" si="33"/>
        <v>1</v>
      </c>
      <c r="F42" s="247">
        <f t="shared" ca="1" si="16"/>
        <v>1</v>
      </c>
      <c r="G42" s="147">
        <f ca="1">IF(SI=3,1,0)</f>
        <v>0</v>
      </c>
      <c r="H42" s="147"/>
      <c r="I42" s="148"/>
      <c r="J42" s="147"/>
      <c r="K42" s="148"/>
      <c r="L42" s="147">
        <f ca="1">IF(AND(BRAND1&gt;=3,BRAND1&lt;=5),1,0)</f>
        <v>0</v>
      </c>
      <c r="M42" s="248">
        <f t="shared" ca="1" si="34"/>
        <v>1</v>
      </c>
      <c r="N42" s="147">
        <f ca="1">IF(AND(BRAND2&gt;=3,BRAND2&lt;=5),1,0)</f>
        <v>0</v>
      </c>
      <c r="O42" s="249">
        <f t="shared" ca="1" si="35"/>
        <v>0</v>
      </c>
      <c r="P42" s="44" t="s">
        <v>106</v>
      </c>
      <c r="Q42" s="149" t="s">
        <v>270</v>
      </c>
      <c r="R42" s="149" t="s">
        <v>220</v>
      </c>
      <c r="S42" s="275">
        <v>0.1</v>
      </c>
      <c r="T42" s="149"/>
      <c r="U42" s="150"/>
      <c r="V42" s="150"/>
      <c r="W42" s="150"/>
      <c r="X42" s="150"/>
      <c r="Y42" s="151"/>
      <c r="Z42" s="143"/>
      <c r="AA42" s="144"/>
      <c r="AB42" s="143"/>
      <c r="AC42" s="145"/>
      <c r="AD42" s="146"/>
      <c r="AE42" s="276" t="str">
        <f>AE41</f>
        <v>4.1304</v>
      </c>
      <c r="AF42" s="152" t="s">
        <v>386</v>
      </c>
      <c r="AG42" s="147"/>
      <c r="AH42" s="636"/>
      <c r="AI42" s="645"/>
      <c r="AJ42" s="269"/>
      <c r="AK42" s="626"/>
      <c r="AL42" s="147"/>
      <c r="AM42" s="655"/>
      <c r="AN42" s="834"/>
      <c r="AO42"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42" s="324" t="str">
        <f t="shared" si="36"/>
        <v>De aangetoonde meetonzekerheid mag niet groter zijn dan 20% van de emissie-eis (art. 4.1312 en art. 4.1319).</v>
      </c>
      <c r="AR42"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9"/>
      <c r="AT42" s="149"/>
      <c r="AU42" s="150"/>
      <c r="AV42" s="150"/>
      <c r="AW42" s="150"/>
      <c r="AX42" s="151"/>
    </row>
    <row r="43" spans="1:50" x14ac:dyDescent="0.2">
      <c r="A43" s="295"/>
      <c r="B43" s="339">
        <f t="shared" ca="1" si="30"/>
        <v>0</v>
      </c>
      <c r="C43" s="249">
        <f t="shared" ca="1" si="31"/>
        <v>0</v>
      </c>
      <c r="D43" s="246">
        <f t="shared" ca="1" si="32"/>
        <v>1</v>
      </c>
      <c r="E43" s="247">
        <f t="shared" ca="1" si="33"/>
        <v>1</v>
      </c>
      <c r="F43" s="247">
        <f t="shared" ca="1" si="16"/>
        <v>0</v>
      </c>
      <c r="G43" s="147">
        <f ca="1">IF(SI=5,1,0)</f>
        <v>0</v>
      </c>
      <c r="H43" s="147"/>
      <c r="I43" s="148"/>
      <c r="J43" s="147"/>
      <c r="K43" s="148"/>
      <c r="L43" s="147">
        <f ca="1">IF(OR(FBRAND1="g",FBRAND1="l"),1,0)</f>
        <v>1</v>
      </c>
      <c r="M43" s="248">
        <f t="shared" ca="1" si="34"/>
        <v>1</v>
      </c>
      <c r="N43" s="147">
        <f ca="1">IF(OR(FBRAND1="g",FBRAND1="l"),1,0)</f>
        <v>1</v>
      </c>
      <c r="O43" s="249">
        <f t="shared" ca="1" si="35"/>
        <v>0</v>
      </c>
      <c r="P43" s="44" t="s">
        <v>106</v>
      </c>
      <c r="Q43" s="149" t="s">
        <v>221</v>
      </c>
      <c r="R43" s="149" t="s">
        <v>223</v>
      </c>
      <c r="S43" s="275">
        <v>0.1</v>
      </c>
      <c r="T43" s="149">
        <v>5</v>
      </c>
      <c r="U43" s="150"/>
      <c r="V43" s="150"/>
      <c r="W43" s="150"/>
      <c r="X43" s="150"/>
      <c r="Y43" s="151"/>
      <c r="Z43" s="143"/>
      <c r="AA43" s="144"/>
      <c r="AB43" s="143"/>
      <c r="AC43" s="145"/>
      <c r="AD43" s="146"/>
      <c r="AE43" s="276" t="s">
        <v>225</v>
      </c>
      <c r="AF43" s="152" t="s">
        <v>385</v>
      </c>
      <c r="AG43" s="147"/>
      <c r="AH43" s="636"/>
      <c r="AI43" s="645"/>
      <c r="AJ43" s="269"/>
      <c r="AK43" s="631" t="str">
        <f ca="1">IF(AND(Offshore,MW&lt;0.6),"4.1306","")</f>
        <v/>
      </c>
      <c r="AL43" s="147"/>
      <c r="AM43" s="655"/>
      <c r="AN43" s="834"/>
      <c r="AO43"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43" s="324" t="str">
        <f t="shared" si="36"/>
        <v>De aangetoonde meetonzekerheid mag niet groter zijn dan 20% van de emissie-eis (art. 4.1312 en art. 4.1319).</v>
      </c>
      <c r="AR43"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9"/>
      <c r="AT43" s="149"/>
      <c r="AU43" s="150"/>
      <c r="AV43" s="150"/>
      <c r="AW43" s="150"/>
      <c r="AX43" s="151"/>
    </row>
    <row r="44" spans="1:50" x14ac:dyDescent="0.2">
      <c r="A44" s="295"/>
      <c r="B44" s="339">
        <f t="shared" ca="1" si="30"/>
        <v>0</v>
      </c>
      <c r="C44" s="249">
        <f t="shared" ca="1" si="31"/>
        <v>0</v>
      </c>
      <c r="D44" s="246">
        <f t="shared" ca="1" si="32"/>
        <v>1</v>
      </c>
      <c r="E44" s="247">
        <f t="shared" ca="1" si="33"/>
        <v>1</v>
      </c>
      <c r="F44" s="247">
        <f t="shared" ca="1" si="16"/>
        <v>1</v>
      </c>
      <c r="G44" s="147">
        <f ca="1">IF(SI=5,1,0)</f>
        <v>0</v>
      </c>
      <c r="H44" s="147"/>
      <c r="I44" s="148"/>
      <c r="J44" s="147"/>
      <c r="K44" s="148"/>
      <c r="L44" s="147">
        <f ca="1">IF(OR(FBRAND1="g",FBRAND1="l"),1,0)</f>
        <v>1</v>
      </c>
      <c r="M44" s="248">
        <f t="shared" ca="1" si="34"/>
        <v>1</v>
      </c>
      <c r="N44" s="147">
        <f ca="1">IF(OR(FBRAND1="g",FBRAND1="l"),1,0)</f>
        <v>1</v>
      </c>
      <c r="O44" s="249">
        <f t="shared" ca="1" si="35"/>
        <v>0</v>
      </c>
      <c r="P44" s="44" t="s">
        <v>106</v>
      </c>
      <c r="Q44" s="149" t="s">
        <v>221</v>
      </c>
      <c r="R44" s="149" t="s">
        <v>223</v>
      </c>
      <c r="S44" s="149">
        <v>5</v>
      </c>
      <c r="T44" s="149"/>
      <c r="U44" s="150"/>
      <c r="V44" s="150"/>
      <c r="W44" s="150"/>
      <c r="X44" s="150"/>
      <c r="Y44" s="151"/>
      <c r="Z44" s="143"/>
      <c r="AA44" s="144"/>
      <c r="AB44" s="143"/>
      <c r="AC44" s="145"/>
      <c r="AD44" s="146"/>
      <c r="AE44" s="276" t="str">
        <f>AE43</f>
        <v>4.1305</v>
      </c>
      <c r="AF44" s="152" t="s">
        <v>385</v>
      </c>
      <c r="AG44" s="147"/>
      <c r="AH44" s="636"/>
      <c r="AI44" s="645"/>
      <c r="AJ44" s="269"/>
      <c r="AK44" s="626"/>
      <c r="AL44" s="147"/>
      <c r="AM44" s="655"/>
      <c r="AN44" s="834"/>
      <c r="AO44"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44" s="324" t="str">
        <f t="shared" si="36"/>
        <v>De aangetoonde meetonzekerheid mag niet groter zijn dan 20% van de emissie-eis (art. 4.1312 en art. 4.1319).</v>
      </c>
      <c r="AR44"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9"/>
      <c r="AT44" s="149"/>
      <c r="AU44" s="150"/>
      <c r="AV44" s="150"/>
      <c r="AW44" s="150"/>
      <c r="AX44" s="151"/>
    </row>
    <row r="45" spans="1:50" x14ac:dyDescent="0.2">
      <c r="A45" s="295"/>
      <c r="B45" s="339">
        <f t="shared" ca="1" si="30"/>
        <v>0</v>
      </c>
      <c r="C45" s="249">
        <f t="shared" ca="1" si="31"/>
        <v>0</v>
      </c>
      <c r="D45" s="246">
        <f t="shared" ca="1" si="32"/>
        <v>0</v>
      </c>
      <c r="E45" s="247">
        <f t="shared" ca="1" si="33"/>
        <v>1</v>
      </c>
      <c r="F45" s="247">
        <f t="shared" ca="1" si="16"/>
        <v>0</v>
      </c>
      <c r="G45" s="147">
        <f ca="1">IF(SI=4,1,0)</f>
        <v>0</v>
      </c>
      <c r="H45" s="147"/>
      <c r="I45" s="148"/>
      <c r="J45" s="147"/>
      <c r="K45" s="148"/>
      <c r="L45" s="147">
        <f ca="1">IF(BRAND1&lt;=2,1,0)</f>
        <v>1</v>
      </c>
      <c r="M45" s="248">
        <f t="shared" ca="1" si="34"/>
        <v>1</v>
      </c>
      <c r="N45" s="147">
        <f ca="1">IF(BRAND2&lt;=2,1,0)</f>
        <v>0</v>
      </c>
      <c r="O45" s="249">
        <f t="shared" ca="1" si="35"/>
        <v>0</v>
      </c>
      <c r="P45" s="44" t="s">
        <v>106</v>
      </c>
      <c r="Q45" s="149" t="s">
        <v>188</v>
      </c>
      <c r="R45" s="149" t="s">
        <v>524</v>
      </c>
      <c r="S45" s="149">
        <v>0.1</v>
      </c>
      <c r="T45" s="149">
        <v>2.5</v>
      </c>
      <c r="U45" s="150"/>
      <c r="V45" s="150"/>
      <c r="W45" s="150"/>
      <c r="X45" s="150"/>
      <c r="Y45" s="151"/>
      <c r="Z45" s="143">
        <f>IWTMCP</f>
        <v>43454</v>
      </c>
      <c r="AA45" s="144"/>
      <c r="AB45" s="143"/>
      <c r="AC45" s="145"/>
      <c r="AD45" s="146"/>
      <c r="AE45" s="276" t="s">
        <v>224</v>
      </c>
      <c r="AF45" s="152"/>
      <c r="AG45" s="147"/>
      <c r="AH45" s="636"/>
      <c r="AI45" s="645"/>
      <c r="AJ45" s="269"/>
      <c r="AK45" s="626"/>
      <c r="AL45" s="147"/>
      <c r="AM45" s="655"/>
      <c r="AN45" s="834"/>
      <c r="AO45" s="325" t="str">
        <f t="shared" si="39"/>
        <v/>
      </c>
      <c r="AP45" s="324" t="str">
        <f t="shared" si="36"/>
        <v/>
      </c>
      <c r="AQ45" s="324" t="str">
        <f t="shared" si="36"/>
        <v/>
      </c>
      <c r="AR45" s="324" t="str">
        <f t="shared" si="36"/>
        <v/>
      </c>
      <c r="AS45" s="149"/>
      <c r="AT45" s="149"/>
      <c r="AU45" s="150"/>
      <c r="AV45" s="150"/>
      <c r="AW45" s="150"/>
      <c r="AX45" s="151"/>
    </row>
    <row r="46" spans="1:50" x14ac:dyDescent="0.2">
      <c r="A46" s="295"/>
      <c r="B46" s="339">
        <f t="shared" ca="1" si="30"/>
        <v>0</v>
      </c>
      <c r="C46" s="249">
        <f t="shared" ca="1" si="31"/>
        <v>0</v>
      </c>
      <c r="D46" s="246">
        <f t="shared" ca="1" si="32"/>
        <v>1</v>
      </c>
      <c r="E46" s="247">
        <f t="shared" ca="1" si="33"/>
        <v>1</v>
      </c>
      <c r="F46" s="247">
        <f t="shared" ca="1" si="16"/>
        <v>0</v>
      </c>
      <c r="G46" s="147">
        <f ca="1">IF(SI=4,1,0)</f>
        <v>0</v>
      </c>
      <c r="H46" s="147"/>
      <c r="I46" s="148"/>
      <c r="J46" s="147"/>
      <c r="K46" s="148"/>
      <c r="L46" s="147">
        <f ca="1">IF(OR(BRAND1=4,BRAND1=5),1,0)</f>
        <v>0</v>
      </c>
      <c r="M46" s="248">
        <f t="shared" ca="1" si="34"/>
        <v>1</v>
      </c>
      <c r="N46" s="147">
        <f ca="1">IF(OR(BRAND2=4,BRAND2=5),1,0)</f>
        <v>0</v>
      </c>
      <c r="O46" s="249">
        <f t="shared" ca="1" si="35"/>
        <v>0</v>
      </c>
      <c r="P46" s="44" t="s">
        <v>106</v>
      </c>
      <c r="Q46" s="149" t="s">
        <v>188</v>
      </c>
      <c r="R46" s="149" t="s">
        <v>217</v>
      </c>
      <c r="S46" s="149">
        <v>0.1</v>
      </c>
      <c r="T46" s="149">
        <v>2.5</v>
      </c>
      <c r="U46" s="150"/>
      <c r="V46" s="150"/>
      <c r="W46" s="150"/>
      <c r="X46" s="150"/>
      <c r="Y46" s="151"/>
      <c r="Z46" s="143"/>
      <c r="AA46" s="144"/>
      <c r="AB46" s="143"/>
      <c r="AC46" s="145"/>
      <c r="AD46" s="146"/>
      <c r="AE46" s="276" t="s">
        <v>224</v>
      </c>
      <c r="AF46" s="152"/>
      <c r="AG46" s="147"/>
      <c r="AH46" s="636"/>
      <c r="AI46" s="645"/>
      <c r="AJ46" s="269"/>
      <c r="AK46" s="626"/>
      <c r="AL46" s="147"/>
      <c r="AM46" s="655"/>
      <c r="AN46" s="834"/>
      <c r="AO46" s="325" t="str">
        <f t="shared" si="39"/>
        <v/>
      </c>
      <c r="AP46" s="324" t="str">
        <f t="shared" si="36"/>
        <v/>
      </c>
      <c r="AQ46" s="324" t="str">
        <f t="shared" si="36"/>
        <v/>
      </c>
      <c r="AR46" s="324" t="str">
        <f t="shared" si="36"/>
        <v/>
      </c>
      <c r="AS46" s="149"/>
      <c r="AT46" s="149"/>
      <c r="AU46" s="150"/>
      <c r="AV46" s="150"/>
      <c r="AW46" s="150"/>
      <c r="AX46" s="151"/>
    </row>
    <row r="47" spans="1:50" x14ac:dyDescent="0.2">
      <c r="A47" s="295"/>
      <c r="B47" s="339">
        <f t="shared" ca="1" si="30"/>
        <v>0</v>
      </c>
      <c r="C47" s="249">
        <f t="shared" ca="1" si="31"/>
        <v>0</v>
      </c>
      <c r="D47" s="246">
        <f t="shared" ca="1" si="32"/>
        <v>1</v>
      </c>
      <c r="E47" s="247">
        <f t="shared" ca="1" si="33"/>
        <v>1</v>
      </c>
      <c r="F47" s="247">
        <f t="shared" ca="1" si="16"/>
        <v>1</v>
      </c>
      <c r="G47" s="147">
        <f ca="1">IF(SI=4,1,0)</f>
        <v>0</v>
      </c>
      <c r="H47" s="147"/>
      <c r="I47" s="148"/>
      <c r="J47" s="147"/>
      <c r="K47" s="148"/>
      <c r="L47" s="147">
        <f ca="1">IF(AND(BRAND1&lt;&gt;3,FBRAND1="g"),1,0)</f>
        <v>1</v>
      </c>
      <c r="M47" s="248">
        <f t="shared" ca="1" si="34"/>
        <v>1</v>
      </c>
      <c r="N47" s="147">
        <f ca="1">IF(AND(BRAND2&lt;&gt;3,FBRAND2="g"),1,0)</f>
        <v>0</v>
      </c>
      <c r="O47" s="249">
        <f t="shared" ca="1" si="35"/>
        <v>0</v>
      </c>
      <c r="P47" s="44" t="s">
        <v>106</v>
      </c>
      <c r="Q47" s="149" t="s">
        <v>188</v>
      </c>
      <c r="R47" s="149" t="s">
        <v>228</v>
      </c>
      <c r="S47" s="149">
        <v>2.5</v>
      </c>
      <c r="T47" s="149"/>
      <c r="U47" s="150"/>
      <c r="V47" s="150"/>
      <c r="W47" s="150"/>
      <c r="X47" s="150"/>
      <c r="Y47" s="151"/>
      <c r="Z47" s="143"/>
      <c r="AA47" s="144"/>
      <c r="AB47" s="143"/>
      <c r="AC47" s="145"/>
      <c r="AD47" s="146"/>
      <c r="AE47" s="276" t="s">
        <v>224</v>
      </c>
      <c r="AF47" s="152"/>
      <c r="AG47" s="147"/>
      <c r="AH47" s="636"/>
      <c r="AI47" s="645"/>
      <c r="AJ47" s="269"/>
      <c r="AK47" s="626"/>
      <c r="AL47" s="147"/>
      <c r="AM47" s="655"/>
      <c r="AN47" s="834"/>
      <c r="AO47" s="325" t="str">
        <f t="shared" si="39"/>
        <v/>
      </c>
      <c r="AP47" s="324" t="str">
        <f t="shared" si="36"/>
        <v/>
      </c>
      <c r="AQ47" s="324" t="str">
        <f t="shared" si="36"/>
        <v/>
      </c>
      <c r="AR47" s="324" t="str">
        <f t="shared" si="36"/>
        <v/>
      </c>
      <c r="AS47" s="149"/>
      <c r="AT47" s="149"/>
      <c r="AU47" s="150"/>
      <c r="AV47" s="150"/>
      <c r="AW47" s="150"/>
      <c r="AX47" s="151"/>
    </row>
    <row r="48" spans="1:50" x14ac:dyDescent="0.2">
      <c r="A48" s="295"/>
      <c r="B48" s="339">
        <f t="shared" ca="1" si="30"/>
        <v>0</v>
      </c>
      <c r="C48" s="249">
        <f t="shared" ca="1" si="31"/>
        <v>0</v>
      </c>
      <c r="D48" s="246">
        <f t="shared" ca="1" si="32"/>
        <v>1</v>
      </c>
      <c r="E48" s="247">
        <f t="shared" ca="1" si="33"/>
        <v>1</v>
      </c>
      <c r="F48" s="247">
        <f t="shared" ca="1" si="16"/>
        <v>1</v>
      </c>
      <c r="G48" s="147">
        <f ca="1">IF(SI=4,1,0)</f>
        <v>0</v>
      </c>
      <c r="H48" s="147"/>
      <c r="I48" s="148"/>
      <c r="J48" s="147"/>
      <c r="K48" s="148"/>
      <c r="L48" s="147">
        <f ca="1">IF(BRAND1=3,1,0)</f>
        <v>0</v>
      </c>
      <c r="M48" s="248">
        <f t="shared" ca="1" si="34"/>
        <v>1</v>
      </c>
      <c r="N48" s="147">
        <f ca="1">IF(BRAND2=3,1,0)</f>
        <v>0</v>
      </c>
      <c r="O48" s="249">
        <f t="shared" ca="1" si="35"/>
        <v>0</v>
      </c>
      <c r="P48" s="44" t="s">
        <v>106</v>
      </c>
      <c r="Q48" s="149" t="s">
        <v>188</v>
      </c>
      <c r="R48" s="149" t="s">
        <v>215</v>
      </c>
      <c r="S48" s="149">
        <v>0.1</v>
      </c>
      <c r="T48" s="149"/>
      <c r="U48" s="150"/>
      <c r="V48" s="150"/>
      <c r="W48" s="150"/>
      <c r="X48" s="150"/>
      <c r="Y48" s="151"/>
      <c r="Z48" s="143"/>
      <c r="AA48" s="144"/>
      <c r="AB48" s="143"/>
      <c r="AC48" s="145"/>
      <c r="AD48" s="146"/>
      <c r="AE48" s="276" t="s">
        <v>224</v>
      </c>
      <c r="AF48" s="152" t="s">
        <v>367</v>
      </c>
      <c r="AG48" s="147"/>
      <c r="AH48" s="636"/>
      <c r="AI48" s="645"/>
      <c r="AJ48" s="269"/>
      <c r="AK48" s="626"/>
      <c r="AL48" s="147"/>
      <c r="AM48" s="655"/>
      <c r="AN48" s="834"/>
      <c r="AO48"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8"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48" s="324" t="str">
        <f t="shared" si="36"/>
        <v>De aangetoonde meetonzekerheid mag niet groter zijn dan 20% van de emissie-eis (art. 4.1312 en art. 4.1319).</v>
      </c>
      <c r="AR48"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8" s="149"/>
      <c r="AT48" s="149"/>
      <c r="AU48" s="150"/>
      <c r="AV48" s="150"/>
      <c r="AW48" s="150"/>
      <c r="AX48" s="151"/>
    </row>
    <row r="49" spans="1:50" x14ac:dyDescent="0.2">
      <c r="A49" s="295"/>
      <c r="B49" s="339">
        <f t="shared" ca="1" si="30"/>
        <v>0</v>
      </c>
      <c r="C49" s="249">
        <f t="shared" ca="1" si="31"/>
        <v>0</v>
      </c>
      <c r="D49" s="246">
        <f t="shared" ca="1" si="32"/>
        <v>1</v>
      </c>
      <c r="E49" s="247">
        <f t="shared" ca="1" si="33"/>
        <v>1</v>
      </c>
      <c r="F49" s="247">
        <f t="shared" ca="1" si="16"/>
        <v>1</v>
      </c>
      <c r="G49" s="147">
        <f t="shared" ref="G49:G54" ca="1" si="45">IF(OR(SI=6,SI=7,SI=9),1,0)</f>
        <v>0</v>
      </c>
      <c r="H49" s="147"/>
      <c r="I49" s="148"/>
      <c r="J49" s="147"/>
      <c r="K49" s="148"/>
      <c r="L49" s="147">
        <f ca="1">IF(OR(BRAND1=6,BRAND1=7),1,0)</f>
        <v>0</v>
      </c>
      <c r="M49" s="248">
        <f t="shared" ca="1" si="34"/>
        <v>1</v>
      </c>
      <c r="N49" s="147">
        <f ca="1">IF(OR(BRAND2=6,BRAND2=7),1,0)</f>
        <v>0</v>
      </c>
      <c r="O49" s="249">
        <f t="shared" ca="1" si="35"/>
        <v>0</v>
      </c>
      <c r="P49" s="44" t="s">
        <v>106</v>
      </c>
      <c r="Q49" s="149" t="s">
        <v>232</v>
      </c>
      <c r="R49" s="149" t="s">
        <v>208</v>
      </c>
      <c r="S49" s="149">
        <v>1</v>
      </c>
      <c r="T49" s="149"/>
      <c r="U49" s="150"/>
      <c r="V49" s="150"/>
      <c r="W49" s="150"/>
      <c r="X49" s="150"/>
      <c r="Y49" s="151"/>
      <c r="Z49" s="143"/>
      <c r="AA49" s="144"/>
      <c r="AB49" s="143"/>
      <c r="AC49" s="145"/>
      <c r="AD49" s="146"/>
      <c r="AE49" s="276" t="s">
        <v>233</v>
      </c>
      <c r="AF49" s="152" t="s">
        <v>274</v>
      </c>
      <c r="AG49" s="147"/>
      <c r="AH49" s="636" t="str">
        <f ca="1">IF(AND(INGTOT&lt;=IWTMCP,Tdatum&lt;IWTMCPbest),CONCATENATE(" geldt vanaf ",IWTMCPbesttxt," (art. 4.1337)"),"")</f>
        <v xml:space="preserve"> geldt vanaf 1-1-2025 (art. 4.1337)</v>
      </c>
      <c r="AI49" s="645"/>
      <c r="AJ49" s="269"/>
      <c r="AK49" s="626"/>
      <c r="AL49" s="147"/>
      <c r="AM49" s="655"/>
      <c r="AN49" s="834"/>
      <c r="AO49"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49" s="324" t="str">
        <f t="shared" si="36"/>
        <v>De aangetoonde meetonzekerheid mag niet groter zijn dan 20% van de emissie-eis (art. 4.1312 en art. 4.1319).</v>
      </c>
      <c r="AR49"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9" s="149"/>
      <c r="AT49" s="149"/>
      <c r="AU49" s="150"/>
      <c r="AV49" s="150"/>
      <c r="AW49" s="150"/>
      <c r="AX49" s="151"/>
    </row>
    <row r="50" spans="1:50" x14ac:dyDescent="0.2">
      <c r="A50" s="295"/>
      <c r="B50" s="339">
        <f t="shared" ca="1" si="30"/>
        <v>0</v>
      </c>
      <c r="C50" s="249">
        <f t="shared" ca="1" si="31"/>
        <v>0</v>
      </c>
      <c r="D50" s="246">
        <f t="shared" ca="1" si="32"/>
        <v>1</v>
      </c>
      <c r="E50" s="247">
        <f t="shared" ca="1" si="33"/>
        <v>1</v>
      </c>
      <c r="F50" s="247">
        <f t="shared" ca="1" si="16"/>
        <v>0</v>
      </c>
      <c r="G50" s="147">
        <f t="shared" ca="1" si="45"/>
        <v>0</v>
      </c>
      <c r="H50" s="147"/>
      <c r="I50" s="148"/>
      <c r="J50" s="147"/>
      <c r="K50" s="148"/>
      <c r="L50" s="147">
        <f ca="1">IF(AND(BRAND1&gt;=8,BRAND1&lt;=10),1,0)</f>
        <v>0</v>
      </c>
      <c r="M50" s="248">
        <f t="shared" ca="1" si="34"/>
        <v>1</v>
      </c>
      <c r="N50" s="147">
        <f ca="1">IF(AND(BRAND2&gt;=8,BRAND2&lt;=10),1,0)</f>
        <v>0</v>
      </c>
      <c r="O50" s="249">
        <f t="shared" ca="1" si="35"/>
        <v>0</v>
      </c>
      <c r="P50" s="44" t="s">
        <v>106</v>
      </c>
      <c r="Q50" s="149" t="s">
        <v>232</v>
      </c>
      <c r="R50" s="149" t="s">
        <v>206</v>
      </c>
      <c r="S50" s="149">
        <v>1</v>
      </c>
      <c r="T50" s="149">
        <v>5</v>
      </c>
      <c r="U50" s="150"/>
      <c r="V50" s="150"/>
      <c r="W50" s="150"/>
      <c r="X50" s="150"/>
      <c r="Y50" s="151"/>
      <c r="Z50" s="143"/>
      <c r="AA50" s="144"/>
      <c r="AB50" s="143"/>
      <c r="AC50" s="145"/>
      <c r="AD50" s="146"/>
      <c r="AE50" s="276" t="s">
        <v>233</v>
      </c>
      <c r="AF50" s="152" t="s">
        <v>274</v>
      </c>
      <c r="AG50" s="147"/>
      <c r="AH50" s="636" t="str">
        <f ca="1">AH49</f>
        <v xml:space="preserve"> geldt vanaf 1-1-2025 (art. 4.1337)</v>
      </c>
      <c r="AI50" s="645"/>
      <c r="AJ50" s="269"/>
      <c r="AK50" s="626"/>
      <c r="AL50" s="147"/>
      <c r="AM50" s="655"/>
      <c r="AN50" s="834"/>
      <c r="AO50"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50" s="324" t="str">
        <f t="shared" si="36"/>
        <v>De aangetoonde meetonzekerheid mag niet groter zijn dan 20% van de emissie-eis (art. 4.1312 en art. 4.1319).</v>
      </c>
      <c r="AR50"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9"/>
      <c r="AT50" s="149"/>
      <c r="AU50" s="150"/>
      <c r="AV50" s="150"/>
      <c r="AW50" s="150"/>
      <c r="AX50" s="151"/>
    </row>
    <row r="51" spans="1:50" x14ac:dyDescent="0.2">
      <c r="A51" s="295"/>
      <c r="B51" s="339">
        <f t="shared" ca="1" si="30"/>
        <v>0</v>
      </c>
      <c r="C51" s="249">
        <f t="shared" ca="1" si="31"/>
        <v>0</v>
      </c>
      <c r="D51" s="246">
        <f t="shared" ca="1" si="32"/>
        <v>1</v>
      </c>
      <c r="E51" s="247">
        <f t="shared" ca="1" si="33"/>
        <v>1</v>
      </c>
      <c r="F51" s="247">
        <f t="shared" ca="1" si="16"/>
        <v>1</v>
      </c>
      <c r="G51" s="147">
        <f t="shared" ca="1" si="45"/>
        <v>0</v>
      </c>
      <c r="H51" s="147"/>
      <c r="I51" s="148"/>
      <c r="J51" s="147"/>
      <c r="K51" s="148"/>
      <c r="L51" s="147">
        <f ca="1">IF(AND(BRAND1&gt;=8,BRAND1&lt;=10),1,0)</f>
        <v>0</v>
      </c>
      <c r="M51" s="248">
        <f t="shared" ca="1" si="34"/>
        <v>1</v>
      </c>
      <c r="N51" s="147">
        <f ca="1">IF(AND(BRAND2&gt;=8,BRAND2&lt;=10),1,0)</f>
        <v>0</v>
      </c>
      <c r="O51" s="249">
        <f t="shared" ca="1" si="35"/>
        <v>0</v>
      </c>
      <c r="P51" s="44" t="s">
        <v>106</v>
      </c>
      <c r="Q51" s="149" t="s">
        <v>232</v>
      </c>
      <c r="R51" s="149" t="s">
        <v>206</v>
      </c>
      <c r="S51" s="149">
        <v>5</v>
      </c>
      <c r="T51" s="149"/>
      <c r="U51" s="150"/>
      <c r="V51" s="150"/>
      <c r="W51" s="150"/>
      <c r="X51" s="150"/>
      <c r="Y51" s="151"/>
      <c r="Z51" s="143"/>
      <c r="AA51" s="144"/>
      <c r="AB51" s="143"/>
      <c r="AC51" s="145"/>
      <c r="AD51" s="146"/>
      <c r="AE51" s="276" t="s">
        <v>233</v>
      </c>
      <c r="AF51" s="152" t="s">
        <v>274</v>
      </c>
      <c r="AG51" s="147"/>
      <c r="AH51" s="636" t="str">
        <f ca="1">AH50</f>
        <v xml:space="preserve"> geldt vanaf 1-1-2025 (art. 4.1337)</v>
      </c>
      <c r="AI51" s="645"/>
      <c r="AJ51" s="269"/>
      <c r="AK51" s="626"/>
      <c r="AL51" s="147"/>
      <c r="AM51" s="655"/>
      <c r="AN51" s="834"/>
      <c r="AO51"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51" s="324" t="str">
        <f t="shared" si="36"/>
        <v>De aangetoonde meetonzekerheid mag niet groter zijn dan 20% van de emissie-eis (art. 4.1312 en art. 4.1319).</v>
      </c>
      <c r="AR51"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9"/>
      <c r="AT51" s="149"/>
      <c r="AU51" s="150"/>
      <c r="AV51" s="150"/>
      <c r="AW51" s="150"/>
      <c r="AX51" s="151"/>
    </row>
    <row r="52" spans="1:50" x14ac:dyDescent="0.2">
      <c r="A52" s="295"/>
      <c r="B52" s="339">
        <f t="shared" ca="1" si="30"/>
        <v>0</v>
      </c>
      <c r="C52" s="249">
        <f t="shared" ca="1" si="31"/>
        <v>0</v>
      </c>
      <c r="D52" s="246">
        <f t="shared" ca="1" si="32"/>
        <v>1</v>
      </c>
      <c r="E52" s="247">
        <f t="shared" ca="1" si="33"/>
        <v>1</v>
      </c>
      <c r="F52" s="247">
        <f t="shared" ca="1" si="16"/>
        <v>1</v>
      </c>
      <c r="G52" s="147">
        <f t="shared" ca="1" si="45"/>
        <v>0</v>
      </c>
      <c r="H52" s="147"/>
      <c r="I52" s="148"/>
      <c r="J52" s="147"/>
      <c r="K52" s="148"/>
      <c r="L52" s="147">
        <f ca="1">IF(BRAND1=3,1,0)</f>
        <v>0</v>
      </c>
      <c r="M52" s="248">
        <f t="shared" ca="1" si="34"/>
        <v>1</v>
      </c>
      <c r="N52" s="147">
        <f ca="1">IF(BRAND2=3,1,0)</f>
        <v>0</v>
      </c>
      <c r="O52" s="249">
        <f t="shared" ca="1" si="35"/>
        <v>0</v>
      </c>
      <c r="P52" s="44" t="s">
        <v>106</v>
      </c>
      <c r="Q52" s="149" t="s">
        <v>232</v>
      </c>
      <c r="R52" s="149" t="s">
        <v>215</v>
      </c>
      <c r="S52" s="149">
        <v>1</v>
      </c>
      <c r="T52" s="149"/>
      <c r="U52" s="150"/>
      <c r="V52" s="150"/>
      <c r="W52" s="150"/>
      <c r="X52" s="150"/>
      <c r="Y52" s="151"/>
      <c r="Z52" s="143"/>
      <c r="AA52" s="144"/>
      <c r="AB52" s="143"/>
      <c r="AC52" s="145"/>
      <c r="AD52" s="146"/>
      <c r="AE52" s="276" t="s">
        <v>233</v>
      </c>
      <c r="AF52" s="152" t="s">
        <v>122</v>
      </c>
      <c r="AG52" s="147"/>
      <c r="AH52" s="636" t="str">
        <f ca="1">AH51</f>
        <v xml:space="preserve"> geldt vanaf 1-1-2025 (art. 4.1337)</v>
      </c>
      <c r="AI52" s="645"/>
      <c r="AJ52" s="269"/>
      <c r="AK52" s="626"/>
      <c r="AL52" s="147"/>
      <c r="AM52" s="655"/>
      <c r="AN52" s="834"/>
      <c r="AO52" s="325" t="str">
        <f t="shared" ca="1" si="39"/>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24" t="str">
        <f t="shared" si="36"/>
        <v xml:space="preserve">Een periodieke meting bestaat uit drie deelmetingen van 15-30 minuten. De metingen mogen worden uitgevoerd door een geaccrediteerd laboratorium volgens NEN-EN 14791 of door een SCIOS gecertificeerd bedrijf volgens scope 6 (art. 4.1312). </v>
      </c>
      <c r="AQ52" s="324" t="str">
        <f t="shared" si="36"/>
        <v>De aangetoonde meetonzekerheid mag niet groter zijn dan 20% van de emissie-eis (art. 4.1312 en art. 4.1319).</v>
      </c>
      <c r="AR52" s="324"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9"/>
      <c r="AT52" s="149"/>
      <c r="AU52" s="150"/>
      <c r="AV52" s="150"/>
      <c r="AW52" s="150"/>
      <c r="AX52" s="151"/>
    </row>
    <row r="53" spans="1:50" x14ac:dyDescent="0.2">
      <c r="A53" s="295"/>
      <c r="B53" s="339">
        <f t="shared" ca="1" si="30"/>
        <v>0</v>
      </c>
      <c r="C53" s="249">
        <f t="shared" ca="1" si="31"/>
        <v>0</v>
      </c>
      <c r="D53" s="246">
        <f t="shared" ca="1" si="32"/>
        <v>1</v>
      </c>
      <c r="E53" s="247">
        <f t="shared" ca="1" si="33"/>
        <v>1</v>
      </c>
      <c r="F53" s="247">
        <f t="shared" ca="1" si="16"/>
        <v>1</v>
      </c>
      <c r="G53" s="147">
        <f t="shared" ca="1" si="45"/>
        <v>0</v>
      </c>
      <c r="H53" s="147"/>
      <c r="I53" s="148"/>
      <c r="J53" s="147"/>
      <c r="K53" s="148"/>
      <c r="L53" s="147">
        <f ca="1">IF(BRAND1&lt;=2,1,0)</f>
        <v>1</v>
      </c>
      <c r="M53" s="248">
        <f t="shared" ca="1" si="34"/>
        <v>1</v>
      </c>
      <c r="N53" s="147">
        <f ca="1">IF(BRAND2&lt;=2,1,0)</f>
        <v>0</v>
      </c>
      <c r="O53" s="249">
        <f t="shared" ca="1" si="35"/>
        <v>0</v>
      </c>
      <c r="P53" s="44" t="s">
        <v>106</v>
      </c>
      <c r="Q53" s="149" t="s">
        <v>232</v>
      </c>
      <c r="R53" s="149" t="s">
        <v>524</v>
      </c>
      <c r="S53" s="149">
        <v>1</v>
      </c>
      <c r="T53" s="149"/>
      <c r="U53" s="150"/>
      <c r="V53" s="150"/>
      <c r="W53" s="150"/>
      <c r="X53" s="150"/>
      <c r="Y53" s="151"/>
      <c r="Z53" s="143"/>
      <c r="AA53" s="144"/>
      <c r="AB53" s="143"/>
      <c r="AC53" s="145"/>
      <c r="AD53" s="146"/>
      <c r="AE53" s="276" t="s">
        <v>233</v>
      </c>
      <c r="AF53" s="152"/>
      <c r="AG53" s="147"/>
      <c r="AH53" s="636"/>
      <c r="AI53" s="645"/>
      <c r="AJ53" s="269"/>
      <c r="AK53" s="626"/>
      <c r="AL53" s="147"/>
      <c r="AM53" s="655"/>
      <c r="AN53" s="834"/>
      <c r="AO53" s="325" t="str">
        <f t="shared" si="39"/>
        <v/>
      </c>
      <c r="AP53" s="324" t="str">
        <f t="shared" si="36"/>
        <v/>
      </c>
      <c r="AQ53" s="324" t="str">
        <f t="shared" si="36"/>
        <v/>
      </c>
      <c r="AR53" s="324" t="str">
        <f t="shared" si="36"/>
        <v/>
      </c>
      <c r="AS53" s="149"/>
      <c r="AT53" s="149"/>
      <c r="AU53" s="150"/>
      <c r="AV53" s="150"/>
      <c r="AW53" s="150"/>
      <c r="AX53" s="151"/>
    </row>
    <row r="54" spans="1:50" x14ac:dyDescent="0.2">
      <c r="A54" s="295"/>
      <c r="B54" s="339">
        <f t="shared" ca="1" si="30"/>
        <v>0</v>
      </c>
      <c r="C54" s="249">
        <f t="shared" ca="1" si="31"/>
        <v>0</v>
      </c>
      <c r="D54" s="246">
        <f t="shared" ca="1" si="32"/>
        <v>1</v>
      </c>
      <c r="E54" s="247">
        <f t="shared" ca="1" si="33"/>
        <v>1</v>
      </c>
      <c r="F54" s="247">
        <f t="shared" ca="1" si="16"/>
        <v>1</v>
      </c>
      <c r="G54" s="147">
        <f t="shared" ca="1" si="45"/>
        <v>0</v>
      </c>
      <c r="H54" s="147"/>
      <c r="I54" s="148"/>
      <c r="J54" s="147"/>
      <c r="K54" s="148"/>
      <c r="L54" s="147">
        <f ca="1">IF(OR(BRAND1=4,BRAND1=5),1,0)</f>
        <v>0</v>
      </c>
      <c r="M54" s="248">
        <f t="shared" ca="1" si="34"/>
        <v>1</v>
      </c>
      <c r="N54" s="147">
        <f ca="1">IF(OR(BRAND2=4,BRAND2=5),1,0)</f>
        <v>0</v>
      </c>
      <c r="O54" s="249">
        <f t="shared" ca="1" si="35"/>
        <v>0</v>
      </c>
      <c r="P54" s="44" t="s">
        <v>106</v>
      </c>
      <c r="Q54" s="149" t="s">
        <v>232</v>
      </c>
      <c r="R54" s="149" t="s">
        <v>217</v>
      </c>
      <c r="S54" s="149">
        <v>1</v>
      </c>
      <c r="T54" s="149"/>
      <c r="U54" s="150"/>
      <c r="V54" s="150"/>
      <c r="W54" s="150"/>
      <c r="X54" s="150"/>
      <c r="Y54" s="151"/>
      <c r="Z54" s="143"/>
      <c r="AA54" s="144"/>
      <c r="AB54" s="143"/>
      <c r="AC54" s="145"/>
      <c r="AD54" s="146"/>
      <c r="AE54" s="276" t="s">
        <v>233</v>
      </c>
      <c r="AF54" s="152"/>
      <c r="AG54" s="147"/>
      <c r="AH54" s="636"/>
      <c r="AI54" s="645"/>
      <c r="AJ54" s="269"/>
      <c r="AK54" s="626"/>
      <c r="AL54" s="147"/>
      <c r="AM54" s="655"/>
      <c r="AN54" s="834"/>
      <c r="AO54" s="325" t="str">
        <f t="shared" si="39"/>
        <v/>
      </c>
      <c r="AP54" s="324" t="str">
        <f t="shared" si="36"/>
        <v/>
      </c>
      <c r="AQ54" s="324" t="str">
        <f t="shared" si="36"/>
        <v/>
      </c>
      <c r="AR54" s="324" t="str">
        <f t="shared" si="36"/>
        <v/>
      </c>
      <c r="AS54" s="149"/>
      <c r="AT54" s="149"/>
      <c r="AU54" s="150"/>
      <c r="AV54" s="150"/>
      <c r="AW54" s="150"/>
      <c r="AX54" s="151"/>
    </row>
    <row r="55" spans="1:50" x14ac:dyDescent="0.2">
      <c r="A55" s="295"/>
      <c r="B55" s="340"/>
      <c r="C55" s="341"/>
      <c r="D55" s="326"/>
      <c r="E55" s="46"/>
      <c r="F55" s="46"/>
      <c r="G55" s="147"/>
      <c r="H55" s="147"/>
      <c r="I55" s="148"/>
      <c r="J55" s="147"/>
      <c r="K55" s="148"/>
      <c r="L55" s="147"/>
      <c r="M55" s="56"/>
      <c r="N55" s="147"/>
      <c r="O55" s="59"/>
      <c r="P55" s="279"/>
      <c r="Q55" s="160"/>
      <c r="R55" s="149"/>
      <c r="S55" s="149"/>
      <c r="T55" s="149"/>
      <c r="U55" s="150"/>
      <c r="V55" s="150"/>
      <c r="W55" s="150"/>
      <c r="X55" s="150"/>
      <c r="Y55" s="151"/>
      <c r="Z55" s="143"/>
      <c r="AA55" s="144"/>
      <c r="AB55" s="143"/>
      <c r="AC55" s="145"/>
      <c r="AD55" s="146"/>
      <c r="AE55" s="276"/>
      <c r="AF55" s="152"/>
      <c r="AG55" s="147"/>
      <c r="AH55" s="636"/>
      <c r="AI55" s="645"/>
      <c r="AJ55" s="269"/>
      <c r="AK55" s="626"/>
      <c r="AL55" s="147"/>
      <c r="AM55" s="655"/>
      <c r="AN55" s="835"/>
      <c r="AO55" s="155"/>
      <c r="AP55" s="155"/>
      <c r="AQ55" s="155"/>
      <c r="AR55" s="155"/>
      <c r="AS55" s="149"/>
      <c r="AT55" s="155"/>
      <c r="AU55" s="157"/>
      <c r="AV55" s="157"/>
      <c r="AW55" s="157"/>
      <c r="AX55" s="151"/>
    </row>
    <row r="56" spans="1:50" x14ac:dyDescent="0.2">
      <c r="A56" s="363" t="s">
        <v>339</v>
      </c>
      <c r="B56" s="364"/>
      <c r="C56" s="365"/>
      <c r="D56" s="366"/>
      <c r="E56" s="367"/>
      <c r="F56" s="367"/>
      <c r="G56" s="368"/>
      <c r="H56" s="368"/>
      <c r="I56" s="369"/>
      <c r="J56" s="368"/>
      <c r="K56" s="369"/>
      <c r="L56" s="368"/>
      <c r="M56" s="370"/>
      <c r="N56" s="368"/>
      <c r="O56" s="371"/>
      <c r="P56" s="372"/>
      <c r="Q56" s="373"/>
      <c r="R56" s="374"/>
      <c r="S56" s="374"/>
      <c r="T56" s="374"/>
      <c r="U56" s="375"/>
      <c r="V56" s="375"/>
      <c r="W56" s="375"/>
      <c r="X56" s="375"/>
      <c r="Y56" s="376"/>
      <c r="Z56" s="377"/>
      <c r="AA56" s="378"/>
      <c r="AB56" s="377"/>
      <c r="AC56" s="379"/>
      <c r="AD56" s="380"/>
      <c r="AE56" s="381"/>
      <c r="AF56" s="382"/>
      <c r="AG56" s="368"/>
      <c r="AH56" s="637"/>
      <c r="AI56" s="646"/>
      <c r="AJ56" s="383"/>
      <c r="AK56" s="627"/>
      <c r="AL56" s="368"/>
      <c r="AM56" s="656"/>
      <c r="AN56" s="836"/>
      <c r="AO56" s="346" t="str">
        <f ca="1">AO29</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46" t="str">
        <f t="shared" ref="AP56:AR56" si="46">AP29</f>
        <v xml:space="preserve">Een periodieke meting bestaat uit drie deelmetingen van 15-30 minuten. De metingen mogen worden uitgevoerd door een geaccrediteerd laboratorium volgens NEN-EN 14791 of door een SCIOS gecertificeerd bedrijf volgens scope 6 (art. 4.1312). </v>
      </c>
      <c r="AQ56" s="346" t="str">
        <f t="shared" si="46"/>
        <v>De aangetoonde meetonzekerheid mag niet groter zijn dan 20% van de emissie-eis (art. 4.1312 en art. 4.1319).</v>
      </c>
      <c r="AR56" s="346" t="str">
        <f t="shared" si="4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346"/>
      <c r="AT56" s="336"/>
      <c r="AU56" s="337"/>
      <c r="AV56" s="337"/>
      <c r="AW56" s="337"/>
      <c r="AX56" s="335"/>
    </row>
    <row r="57" spans="1:50" x14ac:dyDescent="0.2">
      <c r="A57" s="295"/>
      <c r="B57" s="339">
        <f t="shared" ref="B57" ca="1" si="47">IF(AND(SUM(D57:K57,L57:M57)=COUNT(D57:K57,L57:M57),COUNT(D57:K57,L57:M57)&gt;0),ROW(B57),0)</f>
        <v>0</v>
      </c>
      <c r="C57" s="249">
        <f t="shared" ref="C57" ca="1" si="48">IF(AND(SUM(D57:K57,N57:O57)=COUNT(D57:K57,N57:O57),COUNT(D57:K57,N57:O57)&gt;0),ROW(B57),0)</f>
        <v>0</v>
      </c>
      <c r="D57" s="246">
        <f t="shared" ref="D57:D63" ca="1" si="49">IF(AND(OR($Z57="",INGVAN="",$Z57&lt;=INGVAN),OR($Z57="",INGTOT="",$Z57&lt;=INGTOT),OR($AA57="",INGVAN="",$AA57&gt;=INGVAN),OR($AA57="",INGTOT="",$AA57&gt;=INGTOT)),1,0)</f>
        <v>1</v>
      </c>
      <c r="E57" s="247">
        <f t="shared" ref="E57" ca="1" si="50">IF(AND(OR($AB57="",Tdatum&gt;=$AB57,AND(AB57&lt;&gt;"",ISNUMBER(FIND("j",LOWER(AD57))))),OR($AC57="",Tdatum&lt;=$AC57)),1,0)</f>
        <v>1</v>
      </c>
      <c r="F57" s="247">
        <f t="shared" ca="1" si="16"/>
        <v>1</v>
      </c>
      <c r="G57" s="147">
        <f t="shared" ref="G57:G58" ca="1" si="51">IF(SI&lt;=2,1,0)</f>
        <v>1</v>
      </c>
      <c r="H57" s="147"/>
      <c r="I57" s="148"/>
      <c r="J57" s="147"/>
      <c r="K57" s="148"/>
      <c r="L57" s="147">
        <f ca="1">IF(BRAND1=3,1,0)</f>
        <v>0</v>
      </c>
      <c r="M57" s="248">
        <f t="shared" ref="M57" ca="1" si="52">IF(AND(ParBAL1&lt;&gt;"",ParBAL1=P57),1,0)</f>
        <v>1</v>
      </c>
      <c r="N57" s="147">
        <f ca="1">IF(BRAND2=3,1,0)</f>
        <v>0</v>
      </c>
      <c r="O57" s="249">
        <f t="shared" ref="O57" ca="1" si="53">IF(AND(ParBAL2&lt;&gt;"",ParBAL2=P57),1,0)</f>
        <v>0</v>
      </c>
      <c r="P57" s="44" t="s">
        <v>106</v>
      </c>
      <c r="Q57" s="149" t="s">
        <v>204</v>
      </c>
      <c r="R57" s="149" t="s">
        <v>215</v>
      </c>
      <c r="S57" s="284">
        <v>1</v>
      </c>
      <c r="T57" s="149"/>
      <c r="U57" s="150"/>
      <c r="V57" s="150"/>
      <c r="W57" s="150"/>
      <c r="X57" s="150"/>
      <c r="Y57" s="151"/>
      <c r="Z57" s="143"/>
      <c r="AA57" s="144">
        <v>43454</v>
      </c>
      <c r="AB57" s="143"/>
      <c r="AC57" s="145"/>
      <c r="AD57" s="146"/>
      <c r="AE57" s="277" t="s">
        <v>387</v>
      </c>
      <c r="AF57" s="152" t="s">
        <v>274</v>
      </c>
      <c r="AG57" s="147"/>
      <c r="AH57" s="636"/>
      <c r="AI57" s="645"/>
      <c r="AJ57" s="269"/>
      <c r="AK57" s="626"/>
      <c r="AL57" s="147"/>
      <c r="AM57" s="655"/>
      <c r="AN57" s="834"/>
      <c r="AO57" s="325" t="str">
        <f t="shared" ref="AO57:AR63" ca="1" si="54">IF($AF57="","",AO$29)</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7" s="325" t="str">
        <f t="shared" si="54"/>
        <v xml:space="preserve">Een periodieke meting bestaat uit drie deelmetingen van 15-30 minuten. De metingen mogen worden uitgevoerd door een geaccrediteerd laboratorium volgens NEN-EN 14791 of door een SCIOS gecertificeerd bedrijf volgens scope 6 (art. 4.1312). </v>
      </c>
      <c r="AQ57" s="325" t="str">
        <f t="shared" si="54"/>
        <v>De aangetoonde meetonzekerheid mag niet groter zijn dan 20% van de emissie-eis (art. 4.1312 en art. 4.1319).</v>
      </c>
      <c r="AR57" s="325" t="str">
        <f t="shared" si="5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7" s="149"/>
      <c r="AT57" s="149"/>
      <c r="AU57" s="150"/>
      <c r="AV57" s="150"/>
      <c r="AW57" s="150"/>
      <c r="AX57" s="151"/>
    </row>
    <row r="58" spans="1:50" x14ac:dyDescent="0.2">
      <c r="A58" s="295"/>
      <c r="B58" s="339">
        <f t="shared" ref="B58:B59" ca="1" si="55">IF(AND(SUM(D58:K58,L58:M58)=COUNT(D58:K58,L58:M58),COUNT(D58:K58,L58:M58)&gt;0),ROW(B58),0)</f>
        <v>0</v>
      </c>
      <c r="C58" s="249">
        <f t="shared" ref="C58:C59" ca="1" si="56">IF(AND(SUM(D58:K58,N58:O58)=COUNT(D58:K58,N58:O58),COUNT(D58:K58,N58:O58)&gt;0),ROW(B58),0)</f>
        <v>0</v>
      </c>
      <c r="D58" s="246">
        <f t="shared" ca="1" si="49"/>
        <v>1</v>
      </c>
      <c r="E58" s="247">
        <f t="shared" ref="E58:E59" ca="1" si="57">IF(AND(OR($AB58="",Tdatum&gt;=$AB58,AND(AB58&lt;&gt;"",ISNUMBER(FIND("j",LOWER(AD58))))),OR($AC58="",Tdatum&lt;=$AC58)),1,0)</f>
        <v>0</v>
      </c>
      <c r="F58" s="247">
        <f t="shared" ca="1" si="16"/>
        <v>1</v>
      </c>
      <c r="G58" s="147">
        <f t="shared" ca="1" si="51"/>
        <v>1</v>
      </c>
      <c r="H58" s="147"/>
      <c r="I58" s="148"/>
      <c r="J58" s="147"/>
      <c r="K58" s="148"/>
      <c r="L58" s="147">
        <f ca="1">IF(BRAND1=3,1,0)</f>
        <v>0</v>
      </c>
      <c r="M58" s="248">
        <f t="shared" ref="M58:M59" ca="1" si="58">IF(AND(ParBAL1&lt;&gt;"",ParBAL1=P58),1,0)</f>
        <v>1</v>
      </c>
      <c r="N58" s="147">
        <f ca="1">IF(BRAND2=3,1,0)</f>
        <v>0</v>
      </c>
      <c r="O58" s="249">
        <f t="shared" ref="O58:O59" ca="1" si="59">IF(AND(ParBAL2&lt;&gt;"",ParBAL2=P58),1,0)</f>
        <v>0</v>
      </c>
      <c r="P58" s="44" t="s">
        <v>106</v>
      </c>
      <c r="Q58" s="149" t="s">
        <v>204</v>
      </c>
      <c r="R58" s="149" t="s">
        <v>215</v>
      </c>
      <c r="S58" s="149">
        <v>5</v>
      </c>
      <c r="T58" s="149"/>
      <c r="U58" s="150"/>
      <c r="V58" s="150"/>
      <c r="W58" s="150"/>
      <c r="X58" s="150"/>
      <c r="Y58" s="151"/>
      <c r="Z58" s="143"/>
      <c r="AA58" s="144">
        <f>IWTMCP</f>
        <v>43454</v>
      </c>
      <c r="AB58" s="143">
        <v>45658</v>
      </c>
      <c r="AC58" s="145"/>
      <c r="AD58" s="146"/>
      <c r="AE58" s="276" t="s">
        <v>387</v>
      </c>
      <c r="AF58" s="152" t="s">
        <v>388</v>
      </c>
      <c r="AG58" s="147"/>
      <c r="AH58" s="636"/>
      <c r="AI58" s="645"/>
      <c r="AJ58" s="269"/>
      <c r="AK58" s="626"/>
      <c r="AL58" s="147"/>
      <c r="AM58" s="655"/>
      <c r="AN58" s="834"/>
      <c r="AO58" s="325" t="str">
        <f t="shared" ca="1" si="54"/>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8" s="325" t="str">
        <f t="shared" si="54"/>
        <v xml:space="preserve">Een periodieke meting bestaat uit drie deelmetingen van 15-30 minuten. De metingen mogen worden uitgevoerd door een geaccrediteerd laboratorium volgens NEN-EN 14791 of door een SCIOS gecertificeerd bedrijf volgens scope 6 (art. 4.1312). </v>
      </c>
      <c r="AQ58" s="325" t="str">
        <f t="shared" si="54"/>
        <v>De aangetoonde meetonzekerheid mag niet groter zijn dan 20% van de emissie-eis (art. 4.1312 en art. 4.1319).</v>
      </c>
      <c r="AR58" s="325" t="str">
        <f t="shared" si="5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8" s="149"/>
      <c r="AT58" s="149"/>
      <c r="AU58" s="150"/>
      <c r="AV58" s="150"/>
      <c r="AW58" s="150"/>
      <c r="AX58" s="151"/>
    </row>
    <row r="59" spans="1:50" x14ac:dyDescent="0.2">
      <c r="A59" s="295"/>
      <c r="B59" s="339">
        <f t="shared" ca="1" si="55"/>
        <v>0</v>
      </c>
      <c r="C59" s="249">
        <f t="shared" ca="1" si="56"/>
        <v>0</v>
      </c>
      <c r="D59" s="246">
        <f t="shared" ca="1" si="49"/>
        <v>1</v>
      </c>
      <c r="E59" s="247">
        <f t="shared" ca="1" si="57"/>
        <v>1</v>
      </c>
      <c r="F59" s="247">
        <f t="shared" ca="1" si="16"/>
        <v>1</v>
      </c>
      <c r="G59" s="147">
        <f ca="1">IF(SI=4,1,0)</f>
        <v>0</v>
      </c>
      <c r="H59" s="147"/>
      <c r="I59" s="148"/>
      <c r="J59" s="147"/>
      <c r="K59" s="148"/>
      <c r="L59" s="147">
        <f ca="1">IF(BRAND1=3,1,0)</f>
        <v>0</v>
      </c>
      <c r="M59" s="248">
        <f t="shared" ca="1" si="58"/>
        <v>1</v>
      </c>
      <c r="N59" s="147">
        <f ca="1">IF(BRAND2=3,1,0)</f>
        <v>0</v>
      </c>
      <c r="O59" s="249">
        <f t="shared" ca="1" si="59"/>
        <v>0</v>
      </c>
      <c r="P59" s="44" t="s">
        <v>106</v>
      </c>
      <c r="Q59" s="149" t="s">
        <v>188</v>
      </c>
      <c r="R59" s="149" t="s">
        <v>215</v>
      </c>
      <c r="S59" s="149">
        <v>0.1</v>
      </c>
      <c r="T59" s="149"/>
      <c r="U59" s="150"/>
      <c r="V59" s="150"/>
      <c r="W59" s="150"/>
      <c r="X59" s="150"/>
      <c r="Y59" s="151"/>
      <c r="Z59" s="143"/>
      <c r="AA59" s="144">
        <v>43454</v>
      </c>
      <c r="AB59" s="143"/>
      <c r="AC59" s="145">
        <f ca="1">IF(MW&gt;5,DATEVALUE("1-1-2025"),DATEVALUE("1-1-2030"))</f>
        <v>45658</v>
      </c>
      <c r="AD59" s="146"/>
      <c r="AE59" s="276" t="s">
        <v>268</v>
      </c>
      <c r="AF59" s="152" t="s">
        <v>385</v>
      </c>
      <c r="AG59" s="147"/>
      <c r="AH59" s="636"/>
      <c r="AI59" s="645"/>
      <c r="AJ59" s="269"/>
      <c r="AK59" s="626"/>
      <c r="AL59" s="147"/>
      <c r="AM59" s="655"/>
      <c r="AN59" s="834"/>
      <c r="AO59" s="325" t="str">
        <f t="shared" ca="1" si="54"/>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9" s="324" t="str">
        <f t="shared" si="54"/>
        <v xml:space="preserve">Een periodieke meting bestaat uit drie deelmetingen van 15-30 minuten. De metingen mogen worden uitgevoerd door een geaccrediteerd laboratorium volgens NEN-EN 14791 of door een SCIOS gecertificeerd bedrijf volgens scope 6 (art. 4.1312). </v>
      </c>
      <c r="AQ59" s="324" t="str">
        <f t="shared" si="54"/>
        <v>De aangetoonde meetonzekerheid mag niet groter zijn dan 20% van de emissie-eis (art. 4.1312 en art. 4.1319).</v>
      </c>
      <c r="AR59" s="324" t="str">
        <f t="shared" si="5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9" s="149"/>
      <c r="AT59" s="149"/>
      <c r="AU59" s="150"/>
      <c r="AV59" s="150"/>
      <c r="AW59" s="150"/>
      <c r="AX59" s="151"/>
    </row>
    <row r="60" spans="1:50" x14ac:dyDescent="0.2">
      <c r="A60" s="295"/>
      <c r="B60" s="339">
        <f t="shared" ref="B60:B63" ca="1" si="60">IF(AND(SUM(D60:K60,L60:M60)=COUNT(D60:K60,L60:M60),COUNT(D60:K60,L60:M60)&gt;0),ROW(B60),0)</f>
        <v>0</v>
      </c>
      <c r="C60" s="249">
        <f t="shared" ref="C60:C63" ca="1" si="61">IF(AND(SUM(D60:K60,N60:O60)=COUNT(D60:K60,N60:O60),COUNT(D60:K60,N60:O60)&gt;0),ROW(B60),0)</f>
        <v>0</v>
      </c>
      <c r="D60" s="246">
        <f t="shared" ca="1" si="49"/>
        <v>1</v>
      </c>
      <c r="E60" s="247">
        <f t="shared" ref="E60:E63" ca="1" si="62">IF(AND(OR($AB60="",Tdatum&gt;=$AB60,AND(AB60&lt;&gt;"",ISNUMBER(FIND("j",LOWER(AD60))))),OR($AC60="",Tdatum&lt;=$AC60)),1,0)</f>
        <v>0</v>
      </c>
      <c r="F60" s="247">
        <f t="shared" ca="1" si="16"/>
        <v>1</v>
      </c>
      <c r="G60" s="147">
        <f ca="1">IF(SI=4,1,0)</f>
        <v>0</v>
      </c>
      <c r="H60" s="147"/>
      <c r="I60" s="148"/>
      <c r="J60" s="147"/>
      <c r="K60" s="148"/>
      <c r="L60" s="147">
        <f ca="1">IF(BRAND1=3,1,0)</f>
        <v>0</v>
      </c>
      <c r="M60" s="248">
        <f t="shared" ref="M60:M63" ca="1" si="63">IF(AND(ParBAL1&lt;&gt;"",ParBAL1=P60),1,0)</f>
        <v>1</v>
      </c>
      <c r="N60" s="147">
        <f ca="1">IF(BRAND2=3,1,0)</f>
        <v>0</v>
      </c>
      <c r="O60" s="249">
        <f t="shared" ref="O60:O63" ca="1" si="64">IF(AND(ParBAL2&lt;&gt;"",ParBAL2=P60),1,0)</f>
        <v>0</v>
      </c>
      <c r="P60" s="44" t="s">
        <v>106</v>
      </c>
      <c r="Q60" s="149" t="s">
        <v>188</v>
      </c>
      <c r="R60" s="149" t="s">
        <v>215</v>
      </c>
      <c r="S60" s="149">
        <v>0.1</v>
      </c>
      <c r="T60" s="149"/>
      <c r="U60" s="150"/>
      <c r="V60" s="150"/>
      <c r="W60" s="150"/>
      <c r="X60" s="150"/>
      <c r="Y60" s="151"/>
      <c r="Z60" s="143"/>
      <c r="AA60" s="145">
        <v>43454</v>
      </c>
      <c r="AB60" s="143">
        <f ca="1">IF(MW&gt;5,DATEVALUE("1-1-2025"),DATEVALUE("1-1-2030"))</f>
        <v>45658</v>
      </c>
      <c r="AC60" s="741"/>
      <c r="AD60" s="146"/>
      <c r="AE60" s="276" t="s">
        <v>268</v>
      </c>
      <c r="AF60" s="152" t="s">
        <v>161</v>
      </c>
      <c r="AG60" s="147"/>
      <c r="AH60" s="636"/>
      <c r="AI60" s="645"/>
      <c r="AJ60" s="269"/>
      <c r="AK60" s="626"/>
      <c r="AL60" s="147"/>
      <c r="AM60" s="655"/>
      <c r="AN60" s="834"/>
      <c r="AO60" s="325" t="str">
        <f t="shared" ca="1" si="54"/>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0" s="324" t="str">
        <f t="shared" si="54"/>
        <v xml:space="preserve">Een periodieke meting bestaat uit drie deelmetingen van 15-30 minuten. De metingen mogen worden uitgevoerd door een geaccrediteerd laboratorium volgens NEN-EN 14791 of door een SCIOS gecertificeerd bedrijf volgens scope 6 (art. 4.1312). </v>
      </c>
      <c r="AQ60" s="324" t="str">
        <f t="shared" si="54"/>
        <v>De aangetoonde meetonzekerheid mag niet groter zijn dan 20% van de emissie-eis (art. 4.1312 en art. 4.1319).</v>
      </c>
      <c r="AR60" s="324" t="str">
        <f t="shared" si="5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0" s="149"/>
      <c r="AT60" s="149"/>
      <c r="AU60" s="150"/>
      <c r="AV60" s="150"/>
      <c r="AW60" s="150"/>
      <c r="AX60" s="151"/>
    </row>
    <row r="61" spans="1:50" s="771" customFormat="1" x14ac:dyDescent="0.2">
      <c r="A61" s="744"/>
      <c r="B61" s="745">
        <f t="shared" ca="1" si="60"/>
        <v>0</v>
      </c>
      <c r="C61" s="746">
        <f t="shared" ca="1" si="61"/>
        <v>0</v>
      </c>
      <c r="D61" s="747">
        <f t="shared" ca="1" si="49"/>
        <v>1</v>
      </c>
      <c r="E61" s="748">
        <f t="shared" ca="1" si="62"/>
        <v>1</v>
      </c>
      <c r="F61" s="748">
        <f t="shared" ca="1" si="16"/>
        <v>0</v>
      </c>
      <c r="G61" s="749">
        <f t="shared" ref="G61:G63" ca="1" si="65">IF(SI&lt;=2,1,0)</f>
        <v>1</v>
      </c>
      <c r="H61" s="749"/>
      <c r="I61" s="750"/>
      <c r="J61" s="749"/>
      <c r="K61" s="750"/>
      <c r="L61" s="749">
        <f ca="1">IF(AND(BRAND1&gt;=8,BRAND1&lt;=10),1,0)</f>
        <v>0</v>
      </c>
      <c r="M61" s="751">
        <f t="shared" ca="1" si="63"/>
        <v>1</v>
      </c>
      <c r="N61" s="749">
        <f ca="1">IF(AND(BRAND2&gt;=8,BRAND2&lt;=10),1,0)</f>
        <v>0</v>
      </c>
      <c r="O61" s="746">
        <f t="shared" ca="1" si="64"/>
        <v>0</v>
      </c>
      <c r="P61" s="752" t="s">
        <v>106</v>
      </c>
      <c r="Q61" s="753" t="s">
        <v>204</v>
      </c>
      <c r="R61" s="753" t="s">
        <v>206</v>
      </c>
      <c r="S61" s="754">
        <v>0.5</v>
      </c>
      <c r="T61" s="753">
        <v>1</v>
      </c>
      <c r="U61" s="755"/>
      <c r="V61" s="755"/>
      <c r="W61" s="755"/>
      <c r="X61" s="755"/>
      <c r="Y61" s="756"/>
      <c r="Z61" s="757"/>
      <c r="AA61" s="758">
        <f>IWTBAL-1</f>
        <v>45291</v>
      </c>
      <c r="AB61" s="757"/>
      <c r="AC61" s="759"/>
      <c r="AD61" s="760"/>
      <c r="AE61" s="761" t="s">
        <v>387</v>
      </c>
      <c r="AF61" s="762" t="s">
        <v>274</v>
      </c>
      <c r="AG61" s="763"/>
      <c r="AH61" s="764" t="str">
        <f ca="1">IF(INGTOT&gt;SCPbestbio,".",IF(Tdatum&lt;DATEVALUE("1-1-2027"),CONCATENATE(" geldt vanaf 1-1-2027",IF(INGTOT&lt;SCPbest," of vanaf een ingrijpende wijziging (art. 4.1332 3e en 5e lid)."," (art. 4.1332 5e lid).")),""))</f>
        <v xml:space="preserve"> geldt vanaf 1-1-2027 of vanaf een ingrijpende wijziging (art. 4.1332 3e en 5e lid).</v>
      </c>
      <c r="AI61" s="765"/>
      <c r="AJ61" s="796"/>
      <c r="AK61" s="767"/>
      <c r="AL61" s="763"/>
      <c r="AM61" s="768"/>
      <c r="AN61" s="844"/>
      <c r="AO61" s="753" t="str">
        <f t="shared" ca="1" si="54"/>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1" s="769" t="str">
        <f t="shared" si="54"/>
        <v xml:space="preserve">Een periodieke meting bestaat uit drie deelmetingen van 15-30 minuten. De metingen mogen worden uitgevoerd door een geaccrediteerd laboratorium volgens NEN-EN 14791 of door een SCIOS gecertificeerd bedrijf volgens scope 6 (art. 4.1312). </v>
      </c>
      <c r="AQ61" s="769" t="str">
        <f t="shared" si="54"/>
        <v>De aangetoonde meetonzekerheid mag niet groter zijn dan 20% van de emissie-eis (art. 4.1312 en art. 4.1319).</v>
      </c>
      <c r="AR61" s="769" t="str">
        <f t="shared" si="5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1" s="753"/>
      <c r="AT61" s="753"/>
      <c r="AU61" s="755"/>
      <c r="AV61" s="755"/>
      <c r="AW61" s="755"/>
      <c r="AX61" s="770"/>
    </row>
    <row r="62" spans="1:50" s="771" customFormat="1" x14ac:dyDescent="0.2">
      <c r="A62" s="744"/>
      <c r="B62" s="745">
        <f t="shared" ca="1" si="60"/>
        <v>0</v>
      </c>
      <c r="C62" s="746">
        <f t="shared" ca="1" si="61"/>
        <v>0</v>
      </c>
      <c r="D62" s="747">
        <f t="shared" ca="1" si="49"/>
        <v>1</v>
      </c>
      <c r="E62" s="748">
        <f t="shared" ca="1" si="62"/>
        <v>1</v>
      </c>
      <c r="F62" s="748">
        <f t="shared" ca="1" si="16"/>
        <v>0</v>
      </c>
      <c r="G62" s="749">
        <f t="shared" ca="1" si="65"/>
        <v>1</v>
      </c>
      <c r="H62" s="749"/>
      <c r="I62" s="750"/>
      <c r="J62" s="749"/>
      <c r="K62" s="750"/>
      <c r="L62" s="749">
        <f ca="1">IF(AND(BRAND1&gt;=8,BRAND1&lt;=10),1,0)</f>
        <v>0</v>
      </c>
      <c r="M62" s="751">
        <f t="shared" ca="1" si="63"/>
        <v>1</v>
      </c>
      <c r="N62" s="749">
        <f ca="1">IF(AND(BRAND2&gt;=8,BRAND2&lt;=10),1,0)</f>
        <v>0</v>
      </c>
      <c r="O62" s="746">
        <f t="shared" ca="1" si="64"/>
        <v>0</v>
      </c>
      <c r="P62" s="752" t="s">
        <v>106</v>
      </c>
      <c r="Q62" s="753" t="s">
        <v>204</v>
      </c>
      <c r="R62" s="753" t="s">
        <v>206</v>
      </c>
      <c r="S62" s="753">
        <v>1</v>
      </c>
      <c r="T62" s="753">
        <v>5</v>
      </c>
      <c r="U62" s="755"/>
      <c r="V62" s="755"/>
      <c r="W62" s="755"/>
      <c r="X62" s="755"/>
      <c r="Y62" s="756"/>
      <c r="Z62" s="757"/>
      <c r="AA62" s="758">
        <f>IWTBAL-1</f>
        <v>45291</v>
      </c>
      <c r="AB62" s="757"/>
      <c r="AC62" s="759"/>
      <c r="AD62" s="760"/>
      <c r="AE62" s="761" t="s">
        <v>387</v>
      </c>
      <c r="AF62" s="762" t="s">
        <v>274</v>
      </c>
      <c r="AG62" s="763"/>
      <c r="AH62" s="764"/>
      <c r="AI62" s="765"/>
      <c r="AJ62" s="766"/>
      <c r="AK62" s="767"/>
      <c r="AL62" s="763"/>
      <c r="AM62" s="768"/>
      <c r="AN62" s="844"/>
      <c r="AO62" s="753" t="str">
        <f t="shared" ca="1" si="54"/>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2" s="769" t="str">
        <f t="shared" si="54"/>
        <v xml:space="preserve">Een periodieke meting bestaat uit drie deelmetingen van 15-30 minuten. De metingen mogen worden uitgevoerd door een geaccrediteerd laboratorium volgens NEN-EN 14791 of door een SCIOS gecertificeerd bedrijf volgens scope 6 (art. 4.1312). </v>
      </c>
      <c r="AQ62" s="769" t="str">
        <f t="shared" si="54"/>
        <v>De aangetoonde meetonzekerheid mag niet groter zijn dan 20% van de emissie-eis (art. 4.1312 en art. 4.1319).</v>
      </c>
      <c r="AR62" s="769" t="str">
        <f t="shared" si="5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2" s="753"/>
      <c r="AT62" s="753"/>
      <c r="AU62" s="755"/>
      <c r="AV62" s="755"/>
      <c r="AW62" s="755"/>
      <c r="AX62" s="756"/>
    </row>
    <row r="63" spans="1:50" s="771" customFormat="1" x14ac:dyDescent="0.2">
      <c r="A63" s="744"/>
      <c r="B63" s="745">
        <f t="shared" ca="1" si="60"/>
        <v>0</v>
      </c>
      <c r="C63" s="746">
        <f t="shared" ca="1" si="61"/>
        <v>0</v>
      </c>
      <c r="D63" s="747">
        <f t="shared" ca="1" si="49"/>
        <v>1</v>
      </c>
      <c r="E63" s="748">
        <f t="shared" ca="1" si="62"/>
        <v>1</v>
      </c>
      <c r="F63" s="748">
        <f t="shared" ca="1" si="16"/>
        <v>1</v>
      </c>
      <c r="G63" s="749">
        <f t="shared" ca="1" si="65"/>
        <v>1</v>
      </c>
      <c r="H63" s="749"/>
      <c r="I63" s="750"/>
      <c r="J63" s="749"/>
      <c r="K63" s="750"/>
      <c r="L63" s="749">
        <f ca="1">IF(AND(BRAND1&gt;=8,BRAND1&lt;=10),1,0)</f>
        <v>0</v>
      </c>
      <c r="M63" s="751">
        <f t="shared" ca="1" si="63"/>
        <v>1</v>
      </c>
      <c r="N63" s="749">
        <f ca="1">IF(AND(BRAND2&gt;=8,BRAND2&lt;=10),1,0)</f>
        <v>0</v>
      </c>
      <c r="O63" s="746">
        <f t="shared" ca="1" si="64"/>
        <v>0</v>
      </c>
      <c r="P63" s="752" t="s">
        <v>106</v>
      </c>
      <c r="Q63" s="753" t="s">
        <v>204</v>
      </c>
      <c r="R63" s="753" t="s">
        <v>206</v>
      </c>
      <c r="S63" s="753">
        <v>5</v>
      </c>
      <c r="T63" s="753"/>
      <c r="U63" s="755"/>
      <c r="V63" s="755"/>
      <c r="W63" s="755"/>
      <c r="X63" s="755"/>
      <c r="Y63" s="756"/>
      <c r="Z63" s="757"/>
      <c r="AA63" s="758">
        <f>IWTBAL-1</f>
        <v>45291</v>
      </c>
      <c r="AB63" s="757"/>
      <c r="AC63" s="759"/>
      <c r="AD63" s="760"/>
      <c r="AE63" s="761" t="s">
        <v>387</v>
      </c>
      <c r="AF63" s="762" t="s">
        <v>274</v>
      </c>
      <c r="AG63" s="763"/>
      <c r="AH63" s="764"/>
      <c r="AI63" s="765"/>
      <c r="AJ63" s="766"/>
      <c r="AK63" s="767"/>
      <c r="AL63" s="763"/>
      <c r="AM63" s="768"/>
      <c r="AN63" s="844"/>
      <c r="AO63" s="753" t="str">
        <f t="shared" ca="1" si="54"/>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3" s="769" t="str">
        <f t="shared" si="54"/>
        <v xml:space="preserve">Een periodieke meting bestaat uit drie deelmetingen van 15-30 minuten. De metingen mogen worden uitgevoerd door een geaccrediteerd laboratorium volgens NEN-EN 14791 of door een SCIOS gecertificeerd bedrijf volgens scope 6 (art. 4.1312). </v>
      </c>
      <c r="AQ63" s="769" t="str">
        <f t="shared" si="54"/>
        <v>De aangetoonde meetonzekerheid mag niet groter zijn dan 20% van de emissie-eis (art. 4.1312 en art. 4.1319).</v>
      </c>
      <c r="AR63" s="769" t="str">
        <f t="shared" si="5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3" s="753"/>
      <c r="AT63" s="753"/>
      <c r="AU63" s="755"/>
      <c r="AV63" s="755"/>
      <c r="AW63" s="755"/>
      <c r="AX63" s="756"/>
    </row>
    <row r="64" spans="1:50" x14ac:dyDescent="0.2">
      <c r="A64" s="584"/>
      <c r="B64" s="585"/>
      <c r="C64" s="586"/>
      <c r="D64" s="587"/>
      <c r="E64" s="588"/>
      <c r="F64" s="588"/>
      <c r="G64" s="589"/>
      <c r="H64" s="589"/>
      <c r="I64" s="590"/>
      <c r="J64" s="589"/>
      <c r="K64" s="590"/>
      <c r="L64" s="589"/>
      <c r="M64" s="591"/>
      <c r="N64" s="589"/>
      <c r="O64" s="592"/>
      <c r="P64" s="593"/>
      <c r="Q64" s="594"/>
      <c r="R64" s="595"/>
      <c r="S64" s="595"/>
      <c r="T64" s="595"/>
      <c r="U64" s="596"/>
      <c r="V64" s="596"/>
      <c r="W64" s="596"/>
      <c r="X64" s="596"/>
      <c r="Y64" s="597"/>
      <c r="Z64" s="598"/>
      <c r="AA64" s="599"/>
      <c r="AB64" s="598"/>
      <c r="AC64" s="600"/>
      <c r="AD64" s="601"/>
      <c r="AE64" s="602"/>
      <c r="AF64" s="603"/>
      <c r="AG64" s="589"/>
      <c r="AH64" s="638"/>
      <c r="AI64" s="647"/>
      <c r="AJ64" s="604"/>
      <c r="AK64" s="628"/>
      <c r="AL64" s="589"/>
      <c r="AM64" s="657"/>
      <c r="AN64" s="837"/>
      <c r="AO64" s="606"/>
      <c r="AP64" s="606"/>
      <c r="AQ64" s="606"/>
      <c r="AR64" s="606"/>
      <c r="AS64" s="595"/>
      <c r="AT64" s="606"/>
      <c r="AU64" s="607"/>
      <c r="AV64" s="607"/>
      <c r="AW64" s="607"/>
      <c r="AX64" s="597"/>
    </row>
    <row r="65" spans="1:50" x14ac:dyDescent="0.2">
      <c r="A65" s="393" t="s">
        <v>292</v>
      </c>
      <c r="B65" s="394"/>
      <c r="C65" s="395"/>
      <c r="D65" s="396"/>
      <c r="E65" s="397"/>
      <c r="F65" s="397"/>
      <c r="G65" s="398"/>
      <c r="H65" s="398"/>
      <c r="I65" s="399"/>
      <c r="J65" s="398"/>
      <c r="K65" s="399"/>
      <c r="L65" s="398"/>
      <c r="M65" s="400"/>
      <c r="N65" s="398"/>
      <c r="O65" s="401"/>
      <c r="P65" s="402"/>
      <c r="Q65" s="403"/>
      <c r="R65" s="404"/>
      <c r="S65" s="404"/>
      <c r="T65" s="404"/>
      <c r="U65" s="405"/>
      <c r="V65" s="405"/>
      <c r="W65" s="405"/>
      <c r="X65" s="405"/>
      <c r="Y65" s="406"/>
      <c r="Z65" s="407"/>
      <c r="AA65" s="408"/>
      <c r="AB65" s="407"/>
      <c r="AC65" s="409"/>
      <c r="AD65" s="410"/>
      <c r="AE65" s="411"/>
      <c r="AF65" s="412"/>
      <c r="AG65" s="398"/>
      <c r="AH65" s="639"/>
      <c r="AI65" s="648"/>
      <c r="AJ65" s="413"/>
      <c r="AK65" s="629"/>
      <c r="AL65" s="398"/>
      <c r="AM65" s="658"/>
      <c r="AN65" s="838"/>
      <c r="AO65" s="333"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5" s="333" t="s">
        <v>398</v>
      </c>
      <c r="AQ65" s="333" t="s">
        <v>263</v>
      </c>
      <c r="AR65" s="333" t="s">
        <v>264</v>
      </c>
      <c r="AS65" s="327"/>
      <c r="AT65" s="330"/>
      <c r="AU65" s="331"/>
      <c r="AV65" s="331"/>
      <c r="AW65" s="331"/>
      <c r="AX65" s="328"/>
    </row>
    <row r="66" spans="1:50" x14ac:dyDescent="0.2">
      <c r="A66" s="295"/>
      <c r="B66" s="339">
        <f t="shared" ref="B66:B77" ca="1" si="66">IF(AND(SUM(D66:K66,L66:M66)=COUNT(D66:K66,L66:M66),COUNT(D66:K66,L66:M66)&gt;0),ROW(B66),0)</f>
        <v>0</v>
      </c>
      <c r="C66" s="249">
        <f t="shared" ref="C66:C77" ca="1" si="67">IF(AND(SUM(D66:K66,N66:O66)=COUNT(D66:K66,N66:O66),COUNT(D66:K66,N66:O66)&gt;0),ROW(B66),0)</f>
        <v>0</v>
      </c>
      <c r="D66" s="246">
        <f t="shared" ref="D66:D77" ca="1" si="68">IF(AND(OR($Z66="",INGVAN="",$Z66&lt;=INGVAN),OR($Z66="",INGTOT="",$Z66&lt;=INGTOT),OR($AA66="",INGVAN="",$AA66&gt;=INGVAN),OR($AA66="",INGTOT="",$AA66&gt;=INGTOT)),1,0)</f>
        <v>1</v>
      </c>
      <c r="E66" s="247">
        <f t="shared" ca="1" si="33"/>
        <v>1</v>
      </c>
      <c r="F66" s="247">
        <f t="shared" ca="1" si="16"/>
        <v>1</v>
      </c>
      <c r="G66" s="147">
        <f ca="1">IF(SI=3,1,0)</f>
        <v>0</v>
      </c>
      <c r="H66" s="147"/>
      <c r="I66" s="148"/>
      <c r="J66" s="147"/>
      <c r="K66" s="148"/>
      <c r="L66" s="147">
        <f ca="1">IF(FBRAND1="l",1,0)</f>
        <v>0</v>
      </c>
      <c r="M66" s="248">
        <f t="shared" ref="M66:M77" ca="1" si="69">IF(AND(ParBAL1&lt;&gt;"",ParBAL1=P66),1,0)</f>
        <v>0</v>
      </c>
      <c r="N66" s="147">
        <f ca="1">IF(FBRAND2="l",1,0)</f>
        <v>0</v>
      </c>
      <c r="O66" s="249">
        <f t="shared" ref="O66:O77" ca="1" si="70">IF(AND(ParBAL2&lt;&gt;"",ParBAL2=P66),1,0)</f>
        <v>0</v>
      </c>
      <c r="P66" s="44" t="s">
        <v>105</v>
      </c>
      <c r="Q66" s="149" t="s">
        <v>270</v>
      </c>
      <c r="R66" s="149" t="s">
        <v>173</v>
      </c>
      <c r="S66" s="284">
        <v>1</v>
      </c>
      <c r="T66" s="149"/>
      <c r="U66" s="150"/>
      <c r="V66" s="150"/>
      <c r="W66" s="150"/>
      <c r="X66" s="150"/>
      <c r="Y66" s="151"/>
      <c r="Z66" s="143"/>
      <c r="AA66" s="144"/>
      <c r="AB66" s="143"/>
      <c r="AC66" s="145"/>
      <c r="AD66" s="146"/>
      <c r="AE66" s="277" t="s">
        <v>252</v>
      </c>
      <c r="AF66" s="152" t="s">
        <v>385</v>
      </c>
      <c r="AG66" s="147"/>
      <c r="AH66" s="636"/>
      <c r="AI66" s="645"/>
      <c r="AJ66" s="269"/>
      <c r="AK66" s="626"/>
      <c r="AL66" s="147"/>
      <c r="AM66" s="655"/>
      <c r="AN66" s="834"/>
      <c r="AO66" s="325" t="str">
        <f ca="1">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6" s="325" t="str">
        <f t="shared" ref="AP66:AR77" si="71">AP$65</f>
        <v xml:space="preserve">Een periodieke meting bestaat uit drie deelmetingen van 15-30 minuten. De metingen mogen worden uitgevoerd door een geaccrediteerde laboratorium volgens NEN-EN 14791 (art. 4.1354). </v>
      </c>
      <c r="AQ66" s="325" t="str">
        <f t="shared" si="71"/>
        <v>De aangetoonde meetonzekerheid mag niet groter zijn dan 20% van de emissie-eis (art. 4.1354 en art. 4.1361).</v>
      </c>
      <c r="AR66"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6" s="350"/>
      <c r="AT66" s="149"/>
      <c r="AU66" s="150"/>
      <c r="AV66" s="150"/>
      <c r="AW66" s="150"/>
      <c r="AX66" s="151"/>
    </row>
    <row r="67" spans="1:50" x14ac:dyDescent="0.2">
      <c r="A67" s="295"/>
      <c r="B67" s="339">
        <f t="shared" ca="1" si="66"/>
        <v>0</v>
      </c>
      <c r="C67" s="249">
        <f t="shared" ca="1" si="67"/>
        <v>0</v>
      </c>
      <c r="D67" s="246">
        <f t="shared" ca="1" si="68"/>
        <v>1</v>
      </c>
      <c r="E67" s="247">
        <f t="shared" ca="1" si="33"/>
        <v>1</v>
      </c>
      <c r="F67" s="247">
        <f t="shared" ca="1" si="16"/>
        <v>1</v>
      </c>
      <c r="G67" s="147">
        <f ca="1">IF(SI=3,1,0)</f>
        <v>0</v>
      </c>
      <c r="H67" s="147"/>
      <c r="I67" s="148"/>
      <c r="J67" s="147"/>
      <c r="K67" s="148"/>
      <c r="L67" s="147">
        <f ca="1">IF(FBRAND1="g",1,0)</f>
        <v>1</v>
      </c>
      <c r="M67" s="248">
        <f t="shared" ca="1" si="69"/>
        <v>0</v>
      </c>
      <c r="N67" s="147">
        <f ca="1">IF(FBRAND2="g",1,0)</f>
        <v>0</v>
      </c>
      <c r="O67" s="249">
        <f t="shared" ca="1" si="70"/>
        <v>0</v>
      </c>
      <c r="P67" s="44" t="s">
        <v>105</v>
      </c>
      <c r="Q67" s="149" t="s">
        <v>270</v>
      </c>
      <c r="R67" s="149" t="s">
        <v>178</v>
      </c>
      <c r="S67" s="284">
        <v>1</v>
      </c>
      <c r="T67" s="149"/>
      <c r="U67" s="150"/>
      <c r="V67" s="150"/>
      <c r="W67" s="150"/>
      <c r="X67" s="150"/>
      <c r="Y67" s="151"/>
      <c r="Z67" s="143"/>
      <c r="AA67" s="144"/>
      <c r="AB67" s="143"/>
      <c r="AC67" s="145"/>
      <c r="AD67" s="146"/>
      <c r="AE67" s="276" t="str">
        <f>AE66</f>
        <v>4.1346</v>
      </c>
      <c r="AF67" s="152" t="s">
        <v>386</v>
      </c>
      <c r="AG67" s="147"/>
      <c r="AH67" s="636"/>
      <c r="AI67" s="645"/>
      <c r="AJ67" s="269"/>
      <c r="AK67" s="626"/>
      <c r="AL67" s="147"/>
      <c r="AM67" s="655"/>
      <c r="AN67" s="834"/>
      <c r="AO67" s="325" t="str">
        <f t="shared" ref="AO67:AO77" ca="1" si="72">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7" s="325" t="str">
        <f t="shared" si="71"/>
        <v xml:space="preserve">Een periodieke meting bestaat uit drie deelmetingen van 15-30 minuten. De metingen mogen worden uitgevoerd door een geaccrediteerde laboratorium volgens NEN-EN 14791 (art. 4.1354). </v>
      </c>
      <c r="AQ67" s="325" t="str">
        <f t="shared" si="71"/>
        <v>De aangetoonde meetonzekerheid mag niet groter zijn dan 20% van de emissie-eis (art. 4.1354 en art. 4.1361).</v>
      </c>
      <c r="AR67"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7" s="156"/>
      <c r="AT67" s="149"/>
      <c r="AU67" s="150"/>
      <c r="AV67" s="150"/>
      <c r="AW67" s="150"/>
      <c r="AX67" s="151"/>
    </row>
    <row r="68" spans="1:50" x14ac:dyDescent="0.2">
      <c r="A68" s="295"/>
      <c r="B68" s="339">
        <f t="shared" ca="1" si="66"/>
        <v>0</v>
      </c>
      <c r="C68" s="249">
        <f t="shared" ca="1" si="67"/>
        <v>0</v>
      </c>
      <c r="D68" s="246">
        <f t="shared" ca="1" si="68"/>
        <v>1</v>
      </c>
      <c r="E68" s="247">
        <f t="shared" ca="1" si="33"/>
        <v>1</v>
      </c>
      <c r="F68" s="247">
        <f t="shared" ca="1" si="16"/>
        <v>0</v>
      </c>
      <c r="G68" s="147">
        <f ca="1">IF(SI=5,1,0)</f>
        <v>0</v>
      </c>
      <c r="H68" s="147"/>
      <c r="I68" s="148"/>
      <c r="J68" s="147"/>
      <c r="K68" s="148"/>
      <c r="L68" s="147">
        <f ca="1">IF(OR(FBRAND1="g",FBRAND1="l"),1,0)</f>
        <v>1</v>
      </c>
      <c r="M68" s="248">
        <f t="shared" ca="1" si="69"/>
        <v>0</v>
      </c>
      <c r="N68" s="147">
        <f ca="1">IF(OR(FBRAND1="g",FBRAND1="l"),1,0)</f>
        <v>1</v>
      </c>
      <c r="O68" s="249">
        <f t="shared" ca="1" si="70"/>
        <v>0</v>
      </c>
      <c r="P68" s="44" t="s">
        <v>105</v>
      </c>
      <c r="Q68" s="149" t="s">
        <v>221</v>
      </c>
      <c r="R68" s="149" t="s">
        <v>223</v>
      </c>
      <c r="S68" s="284">
        <v>1</v>
      </c>
      <c r="T68" s="149">
        <v>5</v>
      </c>
      <c r="U68" s="150"/>
      <c r="V68" s="150"/>
      <c r="W68" s="150"/>
      <c r="X68" s="150"/>
      <c r="Y68" s="151"/>
      <c r="Z68" s="143"/>
      <c r="AA68" s="144"/>
      <c r="AB68" s="143"/>
      <c r="AC68" s="145"/>
      <c r="AD68" s="146"/>
      <c r="AE68" s="276" t="s">
        <v>253</v>
      </c>
      <c r="AF68" s="152" t="s">
        <v>385</v>
      </c>
      <c r="AG68" s="147"/>
      <c r="AH68" s="636"/>
      <c r="AI68" s="645"/>
      <c r="AJ68" s="269"/>
      <c r="AK68" s="626"/>
      <c r="AL68" s="147"/>
      <c r="AM68" s="655"/>
      <c r="AN68" s="834"/>
      <c r="AO68" s="325" t="str">
        <f t="shared" ca="1" si="7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8" s="325" t="str">
        <f t="shared" si="71"/>
        <v xml:space="preserve">Een periodieke meting bestaat uit drie deelmetingen van 15-30 minuten. De metingen mogen worden uitgevoerd door een geaccrediteerde laboratorium volgens NEN-EN 14791 (art. 4.1354). </v>
      </c>
      <c r="AQ68" s="325" t="str">
        <f t="shared" si="71"/>
        <v>De aangetoonde meetonzekerheid mag niet groter zijn dan 20% van de emissie-eis (art. 4.1354 en art. 4.1361).</v>
      </c>
      <c r="AR68"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8" s="156"/>
      <c r="AT68" s="149"/>
      <c r="AU68" s="150"/>
      <c r="AV68" s="150"/>
      <c r="AW68" s="150"/>
      <c r="AX68" s="151"/>
    </row>
    <row r="69" spans="1:50" x14ac:dyDescent="0.2">
      <c r="A69" s="295"/>
      <c r="B69" s="339">
        <f t="shared" ca="1" si="66"/>
        <v>0</v>
      </c>
      <c r="C69" s="249">
        <f t="shared" ca="1" si="67"/>
        <v>0</v>
      </c>
      <c r="D69" s="246">
        <f t="shared" ca="1" si="68"/>
        <v>1</v>
      </c>
      <c r="E69" s="247">
        <f t="shared" ca="1" si="33"/>
        <v>1</v>
      </c>
      <c r="F69" s="247">
        <f t="shared" ca="1" si="16"/>
        <v>1</v>
      </c>
      <c r="G69" s="147">
        <f ca="1">IF(SI=5,1,0)</f>
        <v>0</v>
      </c>
      <c r="H69" s="147"/>
      <c r="I69" s="148"/>
      <c r="J69" s="147"/>
      <c r="K69" s="148"/>
      <c r="L69" s="147">
        <f ca="1">IF(OR(FBRAND1="g",FBRAND1="l"),1,0)</f>
        <v>1</v>
      </c>
      <c r="M69" s="248">
        <f t="shared" ca="1" si="69"/>
        <v>0</v>
      </c>
      <c r="N69" s="147">
        <f ca="1">IF(OR(FBRAND1="g",FBRAND1="l"),1,0)</f>
        <v>1</v>
      </c>
      <c r="O69" s="249">
        <f t="shared" ca="1" si="70"/>
        <v>0</v>
      </c>
      <c r="P69" s="44" t="s">
        <v>105</v>
      </c>
      <c r="Q69" s="149" t="s">
        <v>221</v>
      </c>
      <c r="R69" s="149" t="s">
        <v>223</v>
      </c>
      <c r="S69" s="149">
        <v>5</v>
      </c>
      <c r="T69" s="149"/>
      <c r="U69" s="150"/>
      <c r="V69" s="150"/>
      <c r="W69" s="150"/>
      <c r="X69" s="150"/>
      <c r="Y69" s="151"/>
      <c r="Z69" s="143"/>
      <c r="AA69" s="144"/>
      <c r="AB69" s="143"/>
      <c r="AC69" s="145"/>
      <c r="AD69" s="146"/>
      <c r="AE69" s="276" t="str">
        <f>AE68</f>
        <v>4.1347</v>
      </c>
      <c r="AF69" s="152" t="s">
        <v>385</v>
      </c>
      <c r="AG69" s="147"/>
      <c r="AH69" s="636"/>
      <c r="AI69" s="645"/>
      <c r="AJ69" s="269"/>
      <c r="AK69" s="626"/>
      <c r="AL69" s="147"/>
      <c r="AM69" s="655"/>
      <c r="AN69" s="834"/>
      <c r="AO69" s="325" t="str">
        <f t="shared" ca="1" si="7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9" s="325" t="str">
        <f t="shared" si="71"/>
        <v xml:space="preserve">Een periodieke meting bestaat uit drie deelmetingen van 15-30 minuten. De metingen mogen worden uitgevoerd door een geaccrediteerde laboratorium volgens NEN-EN 14791 (art. 4.1354). </v>
      </c>
      <c r="AQ69" s="325" t="str">
        <f t="shared" si="71"/>
        <v>De aangetoonde meetonzekerheid mag niet groter zijn dan 20% van de emissie-eis (art. 4.1354 en art. 4.1361).</v>
      </c>
      <c r="AR69"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9" s="156"/>
      <c r="AT69" s="149"/>
      <c r="AU69" s="150"/>
      <c r="AV69" s="150"/>
      <c r="AW69" s="150"/>
      <c r="AX69" s="151"/>
    </row>
    <row r="70" spans="1:50" x14ac:dyDescent="0.2">
      <c r="A70" s="295"/>
      <c r="B70" s="339">
        <f t="shared" ca="1" si="66"/>
        <v>0</v>
      </c>
      <c r="C70" s="249">
        <f t="shared" ca="1" si="67"/>
        <v>0</v>
      </c>
      <c r="D70" s="246">
        <f t="shared" ca="1" si="68"/>
        <v>1</v>
      </c>
      <c r="E70" s="247">
        <f t="shared" ca="1" si="33"/>
        <v>1</v>
      </c>
      <c r="F70" s="247">
        <f t="shared" ca="1" si="16"/>
        <v>0</v>
      </c>
      <c r="G70" s="147">
        <f ca="1">IF(SI=4,1,0)</f>
        <v>0</v>
      </c>
      <c r="H70" s="147"/>
      <c r="I70" s="148"/>
      <c r="J70" s="147"/>
      <c r="K70" s="148"/>
      <c r="L70" s="147">
        <f ca="1">IF(FBRAND1="g",1,0)</f>
        <v>1</v>
      </c>
      <c r="M70" s="248">
        <f t="shared" ca="1" si="69"/>
        <v>0</v>
      </c>
      <c r="N70" s="147">
        <f ca="1">IF(FBRAND2="g",1,0)</f>
        <v>0</v>
      </c>
      <c r="O70" s="249">
        <f t="shared" ca="1" si="70"/>
        <v>0</v>
      </c>
      <c r="P70" s="44" t="s">
        <v>105</v>
      </c>
      <c r="Q70" s="149" t="s">
        <v>188</v>
      </c>
      <c r="R70" s="149" t="s">
        <v>178</v>
      </c>
      <c r="S70" s="149">
        <v>1</v>
      </c>
      <c r="T70" s="149">
        <v>2.5</v>
      </c>
      <c r="U70" s="150"/>
      <c r="V70" s="150"/>
      <c r="W70" s="150"/>
      <c r="X70" s="150"/>
      <c r="Y70" s="151"/>
      <c r="Z70" s="143"/>
      <c r="AA70" s="144"/>
      <c r="AB70" s="143"/>
      <c r="AC70" s="145"/>
      <c r="AD70" s="146"/>
      <c r="AE70" s="276" t="s">
        <v>254</v>
      </c>
      <c r="AF70" s="152" t="s">
        <v>386</v>
      </c>
      <c r="AG70" s="147"/>
      <c r="AH70" s="636"/>
      <c r="AI70" s="645"/>
      <c r="AJ70" s="269"/>
      <c r="AK70" s="626"/>
      <c r="AL70" s="147"/>
      <c r="AM70" s="655"/>
      <c r="AN70" s="834"/>
      <c r="AO70" s="325" t="str">
        <f t="shared" ca="1" si="7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0" s="325" t="str">
        <f t="shared" si="71"/>
        <v xml:space="preserve">Een periodieke meting bestaat uit drie deelmetingen van 15-30 minuten. De metingen mogen worden uitgevoerd door een geaccrediteerde laboratorium volgens NEN-EN 14791 (art. 4.1354). </v>
      </c>
      <c r="AQ70" s="325" t="str">
        <f t="shared" si="71"/>
        <v>De aangetoonde meetonzekerheid mag niet groter zijn dan 20% van de emissie-eis (art. 4.1354 en art. 4.1361).</v>
      </c>
      <c r="AR70"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0" s="156"/>
      <c r="AT70" s="149"/>
      <c r="AU70" s="150"/>
      <c r="AV70" s="150"/>
      <c r="AW70" s="150"/>
      <c r="AX70" s="151"/>
    </row>
    <row r="71" spans="1:50" x14ac:dyDescent="0.2">
      <c r="A71" s="295"/>
      <c r="B71" s="339">
        <f t="shared" ca="1" si="66"/>
        <v>0</v>
      </c>
      <c r="C71" s="249">
        <f t="shared" ca="1" si="67"/>
        <v>0</v>
      </c>
      <c r="D71" s="246">
        <f t="shared" ca="1" si="68"/>
        <v>1</v>
      </c>
      <c r="E71" s="247">
        <f t="shared" ca="1" si="33"/>
        <v>1</v>
      </c>
      <c r="F71" s="247">
        <f t="shared" ca="1" si="16"/>
        <v>1</v>
      </c>
      <c r="G71" s="147">
        <f ca="1">IF(SI=4,1,0)</f>
        <v>0</v>
      </c>
      <c r="H71" s="147"/>
      <c r="I71" s="148"/>
      <c r="J71" s="147"/>
      <c r="K71" s="148"/>
      <c r="L71" s="147">
        <f ca="1">IF(FBRAND1="g",1,0)</f>
        <v>1</v>
      </c>
      <c r="M71" s="248">
        <f t="shared" ca="1" si="69"/>
        <v>0</v>
      </c>
      <c r="N71" s="147">
        <f ca="1">IF(FBRAND2="g",1,0)</f>
        <v>0</v>
      </c>
      <c r="O71" s="249">
        <f t="shared" ca="1" si="70"/>
        <v>0</v>
      </c>
      <c r="P71" s="44" t="s">
        <v>105</v>
      </c>
      <c r="Q71" s="149" t="s">
        <v>188</v>
      </c>
      <c r="R71" s="149" t="s">
        <v>178</v>
      </c>
      <c r="S71" s="149">
        <v>2.5</v>
      </c>
      <c r="T71" s="149"/>
      <c r="U71" s="150"/>
      <c r="V71" s="150"/>
      <c r="W71" s="150"/>
      <c r="X71" s="150"/>
      <c r="Y71" s="151"/>
      <c r="Z71" s="143"/>
      <c r="AA71" s="144"/>
      <c r="AB71" s="143"/>
      <c r="AC71" s="145"/>
      <c r="AD71" s="146"/>
      <c r="AE71" s="276" t="s">
        <v>254</v>
      </c>
      <c r="AF71" s="152" t="s">
        <v>386</v>
      </c>
      <c r="AG71" s="147"/>
      <c r="AH71" s="636"/>
      <c r="AI71" s="645"/>
      <c r="AJ71" s="269"/>
      <c r="AK71" s="626"/>
      <c r="AL71" s="147"/>
      <c r="AM71" s="655"/>
      <c r="AN71" s="834"/>
      <c r="AO71" s="325" t="str">
        <f t="shared" ca="1" si="7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1" s="325" t="str">
        <f t="shared" si="71"/>
        <v xml:space="preserve">Een periodieke meting bestaat uit drie deelmetingen van 15-30 minuten. De metingen mogen worden uitgevoerd door een geaccrediteerde laboratorium volgens NEN-EN 14791 (art. 4.1354). </v>
      </c>
      <c r="AQ71" s="325" t="str">
        <f t="shared" si="71"/>
        <v>De aangetoonde meetonzekerheid mag niet groter zijn dan 20% van de emissie-eis (art. 4.1354 en art. 4.1361).</v>
      </c>
      <c r="AR71"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1" s="156"/>
      <c r="AT71" s="149"/>
      <c r="AU71" s="150"/>
      <c r="AV71" s="150"/>
      <c r="AW71" s="150"/>
      <c r="AX71" s="151"/>
    </row>
    <row r="72" spans="1:50" x14ac:dyDescent="0.2">
      <c r="A72" s="295"/>
      <c r="B72" s="339">
        <f t="shared" ca="1" si="66"/>
        <v>0</v>
      </c>
      <c r="C72" s="249">
        <f t="shared" ca="1" si="67"/>
        <v>0</v>
      </c>
      <c r="D72" s="246">
        <f t="shared" ca="1" si="68"/>
        <v>1</v>
      </c>
      <c r="E72" s="247">
        <f t="shared" ca="1" si="33"/>
        <v>1</v>
      </c>
      <c r="F72" s="247">
        <f t="shared" ca="1" si="16"/>
        <v>1</v>
      </c>
      <c r="G72" s="147">
        <f t="shared" ref="G72:G77" ca="1" si="73">IF(AND(TSI&gt;0,TSI&lt;3),1,0)</f>
        <v>1</v>
      </c>
      <c r="H72" s="147"/>
      <c r="I72" s="148"/>
      <c r="J72" s="147"/>
      <c r="K72" s="148"/>
      <c r="L72" s="147">
        <f ca="1">IF(AND(FBRAND1="s",BRAND1&lt;&gt;9,BRAND1&lt;&gt;10),1,0)</f>
        <v>0</v>
      </c>
      <c r="M72" s="248">
        <f t="shared" ca="1" si="69"/>
        <v>0</v>
      </c>
      <c r="N72" s="147">
        <f ca="1">IF(AND(FBRAND2="s",BRAND2&lt;&gt;9,BRAND2&lt;&gt;10),1,0)</f>
        <v>0</v>
      </c>
      <c r="O72" s="249">
        <f t="shared" ca="1" si="70"/>
        <v>0</v>
      </c>
      <c r="P72" s="44" t="s">
        <v>105</v>
      </c>
      <c r="Q72" s="149" t="s">
        <v>255</v>
      </c>
      <c r="R72" s="149" t="s">
        <v>256</v>
      </c>
      <c r="S72" s="149">
        <v>1</v>
      </c>
      <c r="T72" s="149"/>
      <c r="U72" s="150"/>
      <c r="V72" s="150"/>
      <c r="W72" s="150"/>
      <c r="X72" s="150"/>
      <c r="Y72" s="151"/>
      <c r="Z72" s="143"/>
      <c r="AA72" s="144"/>
      <c r="AB72" s="143"/>
      <c r="AC72" s="145"/>
      <c r="AD72" s="146"/>
      <c r="AE72" s="276" t="s">
        <v>261</v>
      </c>
      <c r="AF72" s="152" t="s">
        <v>274</v>
      </c>
      <c r="AG72" s="147"/>
      <c r="AH72" s="636" t="str">
        <f t="shared" ref="AH72:AH77" ca="1" si="74">IF(INGTOT&lt;=IWTMCP,CONCATENATE(" geldt vanaf ",IWTMCPbesttxt," (art. 4.1369)"),"")</f>
        <v xml:space="preserve"> geldt vanaf 1-1-2025 (art. 4.1369)</v>
      </c>
      <c r="AI72" s="645"/>
      <c r="AJ72" s="269"/>
      <c r="AK72" s="626"/>
      <c r="AL72" s="147"/>
      <c r="AM72" s="655"/>
      <c r="AN72" s="834"/>
      <c r="AO72" s="325" t="str">
        <f t="shared" ca="1" si="7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2" s="325" t="str">
        <f t="shared" si="71"/>
        <v xml:space="preserve">Een periodieke meting bestaat uit drie deelmetingen van 15-30 minuten. De metingen mogen worden uitgevoerd door een geaccrediteerde laboratorium volgens NEN-EN 14791 (art. 4.1354). </v>
      </c>
      <c r="AQ72" s="325" t="str">
        <f t="shared" si="71"/>
        <v>De aangetoonde meetonzekerheid mag niet groter zijn dan 20% van de emissie-eis (art. 4.1354 en art. 4.1361).</v>
      </c>
      <c r="AR72"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156"/>
      <c r="AT72" s="149"/>
      <c r="AU72" s="150"/>
      <c r="AV72" s="150"/>
      <c r="AW72" s="150"/>
      <c r="AX72" s="151"/>
    </row>
    <row r="73" spans="1:50" x14ac:dyDescent="0.2">
      <c r="A73" s="295"/>
      <c r="B73" s="339">
        <f t="shared" ca="1" si="66"/>
        <v>0</v>
      </c>
      <c r="C73" s="249">
        <f t="shared" ca="1" si="67"/>
        <v>0</v>
      </c>
      <c r="D73" s="246">
        <f t="shared" ca="1" si="68"/>
        <v>1</v>
      </c>
      <c r="E73" s="247">
        <f t="shared" ca="1" si="33"/>
        <v>1</v>
      </c>
      <c r="F73" s="247">
        <f t="shared" ca="1" si="16"/>
        <v>1</v>
      </c>
      <c r="G73" s="147">
        <f t="shared" ca="1" si="73"/>
        <v>1</v>
      </c>
      <c r="H73" s="147"/>
      <c r="I73" s="148"/>
      <c r="J73" s="147"/>
      <c r="K73" s="148"/>
      <c r="L73" s="147">
        <f ca="1">IF(AND(FBRAND1="l",BRAND1&lt;&gt;8),1,0)</f>
        <v>0</v>
      </c>
      <c r="M73" s="248">
        <f t="shared" ca="1" si="69"/>
        <v>0</v>
      </c>
      <c r="N73" s="147">
        <f ca="1">IF(AND(FBRAND2="l",BRAND2&lt;&gt;8),1,0)</f>
        <v>0</v>
      </c>
      <c r="O73" s="249">
        <f t="shared" ca="1" si="70"/>
        <v>0</v>
      </c>
      <c r="P73" s="44" t="s">
        <v>105</v>
      </c>
      <c r="Q73" s="149" t="s">
        <v>255</v>
      </c>
      <c r="R73" s="149" t="s">
        <v>257</v>
      </c>
      <c r="S73" s="149">
        <v>1</v>
      </c>
      <c r="T73" s="149"/>
      <c r="U73" s="150"/>
      <c r="V73" s="150"/>
      <c r="W73" s="150"/>
      <c r="X73" s="150"/>
      <c r="Y73" s="151"/>
      <c r="Z73" s="143"/>
      <c r="AA73" s="144"/>
      <c r="AB73" s="143"/>
      <c r="AC73" s="145"/>
      <c r="AD73" s="146"/>
      <c r="AE73" s="276" t="s">
        <v>261</v>
      </c>
      <c r="AF73" s="152" t="s">
        <v>274</v>
      </c>
      <c r="AG73" s="147"/>
      <c r="AH73" s="636" t="str">
        <f t="shared" ca="1" si="74"/>
        <v xml:space="preserve"> geldt vanaf 1-1-2025 (art. 4.1369)</v>
      </c>
      <c r="AI73" s="645"/>
      <c r="AJ73" s="269"/>
      <c r="AK73" s="626"/>
      <c r="AL73" s="147"/>
      <c r="AM73" s="655"/>
      <c r="AN73" s="834"/>
      <c r="AO73" s="325" t="str">
        <f t="shared" ca="1" si="7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3" s="325" t="str">
        <f t="shared" si="71"/>
        <v xml:space="preserve">Een periodieke meting bestaat uit drie deelmetingen van 15-30 minuten. De metingen mogen worden uitgevoerd door een geaccrediteerde laboratorium volgens NEN-EN 14791 (art. 4.1354). </v>
      </c>
      <c r="AQ73" s="325" t="str">
        <f t="shared" si="71"/>
        <v>De aangetoonde meetonzekerheid mag niet groter zijn dan 20% van de emissie-eis (art. 4.1354 en art. 4.1361).</v>
      </c>
      <c r="AR73"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156"/>
      <c r="AT73" s="149"/>
      <c r="AU73" s="150"/>
      <c r="AV73" s="150"/>
      <c r="AW73" s="150"/>
      <c r="AX73" s="151"/>
    </row>
    <row r="74" spans="1:50" x14ac:dyDescent="0.2">
      <c r="A74" s="295"/>
      <c r="B74" s="745">
        <f t="shared" ca="1" si="66"/>
        <v>0</v>
      </c>
      <c r="C74" s="249">
        <f t="shared" ca="1" si="67"/>
        <v>0</v>
      </c>
      <c r="D74" s="246">
        <f t="shared" ca="1" si="68"/>
        <v>1</v>
      </c>
      <c r="E74" s="247">
        <f t="shared" ca="1" si="33"/>
        <v>1</v>
      </c>
      <c r="F74" s="247">
        <f t="shared" ca="1" si="16"/>
        <v>1</v>
      </c>
      <c r="G74" s="147">
        <f t="shared" ca="1" si="73"/>
        <v>1</v>
      </c>
      <c r="H74" s="147"/>
      <c r="I74" s="148"/>
      <c r="J74" s="147"/>
      <c r="K74" s="148"/>
      <c r="L74" s="147">
        <f ca="1">IF(AND(BRAND1&gt;=8,BRAND1&lt;=10),1,0)</f>
        <v>0</v>
      </c>
      <c r="M74" s="248">
        <f t="shared" ca="1" si="69"/>
        <v>0</v>
      </c>
      <c r="N74" s="147">
        <f ca="1">IF(AND(BRAND2&gt;=8,BRAND2&lt;=10),1,0)</f>
        <v>0</v>
      </c>
      <c r="O74" s="249">
        <f t="shared" ca="1" si="70"/>
        <v>0</v>
      </c>
      <c r="P74" s="44" t="s">
        <v>105</v>
      </c>
      <c r="Q74" s="149" t="s">
        <v>255</v>
      </c>
      <c r="R74" s="149" t="s">
        <v>206</v>
      </c>
      <c r="S74" s="149">
        <v>1</v>
      </c>
      <c r="T74" s="149"/>
      <c r="U74" s="150"/>
      <c r="V74" s="150"/>
      <c r="W74" s="150"/>
      <c r="X74" s="150"/>
      <c r="Y74" s="151"/>
      <c r="Z74" s="143"/>
      <c r="AA74" s="144"/>
      <c r="AB74" s="757">
        <f>IWTBAL</f>
        <v>45292</v>
      </c>
      <c r="AC74" s="145"/>
      <c r="AD74" s="146"/>
      <c r="AE74" s="276" t="s">
        <v>261</v>
      </c>
      <c r="AF74" s="762" t="s">
        <v>161</v>
      </c>
      <c r="AG74" s="147"/>
      <c r="AH74" s="636" t="str">
        <f t="shared" ca="1" si="74"/>
        <v xml:space="preserve"> geldt vanaf 1-1-2025 (art. 4.1369)</v>
      </c>
      <c r="AI74" s="645"/>
      <c r="AJ74" s="269"/>
      <c r="AK74" s="626"/>
      <c r="AL74" s="147"/>
      <c r="AM74" s="655"/>
      <c r="AN74" s="834"/>
      <c r="AO74" s="325" t="str">
        <f t="shared" ca="1" si="7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4" s="325" t="str">
        <f t="shared" si="71"/>
        <v xml:space="preserve">Een periodieke meting bestaat uit drie deelmetingen van 15-30 minuten. De metingen mogen worden uitgevoerd door een geaccrediteerde laboratorium volgens NEN-EN 14791 (art. 4.1354). </v>
      </c>
      <c r="AQ74" s="325" t="str">
        <f t="shared" si="71"/>
        <v>De aangetoonde meetonzekerheid mag niet groter zijn dan 20% van de emissie-eis (art. 4.1354 en art. 4.1361).</v>
      </c>
      <c r="AR74"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6"/>
      <c r="AT74" s="149"/>
      <c r="AU74" s="150"/>
      <c r="AV74" s="150"/>
      <c r="AW74" s="150"/>
      <c r="AX74" s="151"/>
    </row>
    <row r="75" spans="1:50" x14ac:dyDescent="0.2">
      <c r="A75" s="295"/>
      <c r="B75" s="339">
        <f t="shared" ca="1" si="66"/>
        <v>0</v>
      </c>
      <c r="C75" s="249">
        <f t="shared" ca="1" si="67"/>
        <v>0</v>
      </c>
      <c r="D75" s="246">
        <f t="shared" ca="1" si="68"/>
        <v>1</v>
      </c>
      <c r="E75" s="247">
        <f t="shared" ca="1" si="33"/>
        <v>1</v>
      </c>
      <c r="F75" s="247">
        <f t="shared" ca="1" si="16"/>
        <v>1</v>
      </c>
      <c r="G75" s="147">
        <f t="shared" ca="1" si="73"/>
        <v>1</v>
      </c>
      <c r="H75" s="147"/>
      <c r="I75" s="148"/>
      <c r="J75" s="147"/>
      <c r="K75" s="148"/>
      <c r="L75" s="147">
        <f ca="1">IF(AND(FBRAND1="g",BRAND1&lt;&gt;12,BRAND1&lt;&gt;13),1,0)</f>
        <v>1</v>
      </c>
      <c r="M75" s="248">
        <f t="shared" ca="1" si="69"/>
        <v>0</v>
      </c>
      <c r="N75" s="147">
        <f ca="1">IF(AND(FBRAND2="g",BRAND2&lt;&gt;12,BRAND2&lt;&gt;13),1,0)</f>
        <v>0</v>
      </c>
      <c r="O75" s="249">
        <f t="shared" ca="1" si="70"/>
        <v>0</v>
      </c>
      <c r="P75" s="44" t="s">
        <v>105</v>
      </c>
      <c r="Q75" s="149" t="s">
        <v>255</v>
      </c>
      <c r="R75" s="149" t="s">
        <v>258</v>
      </c>
      <c r="S75" s="149">
        <v>1</v>
      </c>
      <c r="T75" s="149"/>
      <c r="U75" s="150"/>
      <c r="V75" s="150"/>
      <c r="W75" s="150"/>
      <c r="X75" s="150"/>
      <c r="Y75" s="151"/>
      <c r="Z75" s="143"/>
      <c r="AA75" s="144"/>
      <c r="AB75" s="143"/>
      <c r="AC75" s="145"/>
      <c r="AD75" s="146"/>
      <c r="AE75" s="276" t="s">
        <v>261</v>
      </c>
      <c r="AF75" s="152" t="s">
        <v>176</v>
      </c>
      <c r="AG75" s="147"/>
      <c r="AH75" s="636" t="str">
        <f t="shared" ca="1" si="74"/>
        <v xml:space="preserve"> geldt vanaf 1-1-2025 (art. 4.1369)</v>
      </c>
      <c r="AI75" s="645"/>
      <c r="AJ75" s="269"/>
      <c r="AK75" s="626"/>
      <c r="AL75" s="147"/>
      <c r="AM75" s="655"/>
      <c r="AN75" s="834"/>
      <c r="AO75" s="325" t="str">
        <f t="shared" ca="1" si="7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5" s="325" t="str">
        <f t="shared" si="71"/>
        <v xml:space="preserve">Een periodieke meting bestaat uit drie deelmetingen van 15-30 minuten. De metingen mogen worden uitgevoerd door een geaccrediteerde laboratorium volgens NEN-EN 14791 (art. 4.1354). </v>
      </c>
      <c r="AQ75" s="325" t="str">
        <f t="shared" si="71"/>
        <v>De aangetoonde meetonzekerheid mag niet groter zijn dan 20% van de emissie-eis (art. 4.1354 en art. 4.1361).</v>
      </c>
      <c r="AR75"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5" s="156"/>
      <c r="AT75" s="149"/>
      <c r="AU75" s="150"/>
      <c r="AV75" s="150"/>
      <c r="AW75" s="150"/>
      <c r="AX75" s="151"/>
    </row>
    <row r="76" spans="1:50" x14ac:dyDescent="0.2">
      <c r="A76" s="295"/>
      <c r="B76" s="339">
        <f t="shared" ca="1" si="66"/>
        <v>0</v>
      </c>
      <c r="C76" s="249">
        <f t="shared" ca="1" si="67"/>
        <v>0</v>
      </c>
      <c r="D76" s="246">
        <f t="shared" ca="1" si="68"/>
        <v>1</v>
      </c>
      <c r="E76" s="247">
        <f t="shared" ca="1" si="33"/>
        <v>1</v>
      </c>
      <c r="F76" s="247">
        <f t="shared" ca="1" si="16"/>
        <v>1</v>
      </c>
      <c r="G76" s="147">
        <f t="shared" ca="1" si="73"/>
        <v>1</v>
      </c>
      <c r="H76" s="147"/>
      <c r="I76" s="148"/>
      <c r="J76" s="147"/>
      <c r="K76" s="148"/>
      <c r="L76" s="147">
        <f ca="1">IF(BRAND1=12,1,0)</f>
        <v>0</v>
      </c>
      <c r="M76" s="248">
        <f t="shared" ca="1" si="69"/>
        <v>0</v>
      </c>
      <c r="N76" s="147">
        <f ca="1">IF(BRAND2=12,1,0)</f>
        <v>0</v>
      </c>
      <c r="O76" s="249">
        <f t="shared" ca="1" si="70"/>
        <v>0</v>
      </c>
      <c r="P76" s="44" t="s">
        <v>105</v>
      </c>
      <c r="Q76" s="149" t="s">
        <v>255</v>
      </c>
      <c r="R76" s="149" t="s">
        <v>259</v>
      </c>
      <c r="S76" s="149">
        <v>1</v>
      </c>
      <c r="T76" s="149"/>
      <c r="U76" s="150"/>
      <c r="V76" s="150"/>
      <c r="W76" s="150"/>
      <c r="X76" s="150"/>
      <c r="Y76" s="151"/>
      <c r="Z76" s="143"/>
      <c r="AA76" s="144"/>
      <c r="AB76" s="143"/>
      <c r="AC76" s="145"/>
      <c r="AD76" s="146"/>
      <c r="AE76" s="276" t="s">
        <v>261</v>
      </c>
      <c r="AF76" s="152" t="s">
        <v>176</v>
      </c>
      <c r="AG76" s="147"/>
      <c r="AH76" s="636" t="str">
        <f t="shared" ca="1" si="74"/>
        <v xml:space="preserve"> geldt vanaf 1-1-2025 (art. 4.1369)</v>
      </c>
      <c r="AI76" s="645"/>
      <c r="AJ76" s="269"/>
      <c r="AK76" s="626"/>
      <c r="AL76" s="147"/>
      <c r="AM76" s="655"/>
      <c r="AN76" s="834"/>
      <c r="AO76" s="325" t="str">
        <f t="shared" ca="1" si="7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6" s="325" t="str">
        <f t="shared" si="71"/>
        <v xml:space="preserve">Een periodieke meting bestaat uit drie deelmetingen van 15-30 minuten. De metingen mogen worden uitgevoerd door een geaccrediteerde laboratorium volgens NEN-EN 14791 (art. 4.1354). </v>
      </c>
      <c r="AQ76" s="325" t="str">
        <f t="shared" si="71"/>
        <v>De aangetoonde meetonzekerheid mag niet groter zijn dan 20% van de emissie-eis (art. 4.1354 en art. 4.1361).</v>
      </c>
      <c r="AR76"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6" s="156"/>
      <c r="AT76" s="149"/>
      <c r="AU76" s="150"/>
      <c r="AV76" s="150"/>
      <c r="AW76" s="150"/>
      <c r="AX76" s="151"/>
    </row>
    <row r="77" spans="1:50" x14ac:dyDescent="0.2">
      <c r="A77" s="295"/>
      <c r="B77" s="339">
        <f t="shared" ca="1" si="66"/>
        <v>0</v>
      </c>
      <c r="C77" s="249">
        <f t="shared" ca="1" si="67"/>
        <v>0</v>
      </c>
      <c r="D77" s="246">
        <f t="shared" ca="1" si="68"/>
        <v>1</v>
      </c>
      <c r="E77" s="247">
        <f t="shared" ca="1" si="33"/>
        <v>1</v>
      </c>
      <c r="F77" s="247">
        <f t="shared" ca="1" si="16"/>
        <v>1</v>
      </c>
      <c r="G77" s="147">
        <f t="shared" ca="1" si="73"/>
        <v>1</v>
      </c>
      <c r="H77" s="147"/>
      <c r="I77" s="148"/>
      <c r="J77" s="147"/>
      <c r="K77" s="148"/>
      <c r="L77" s="147">
        <f ca="1">IF(BRAND1=13,1,0)</f>
        <v>0</v>
      </c>
      <c r="M77" s="248">
        <f t="shared" ca="1" si="69"/>
        <v>0</v>
      </c>
      <c r="N77" s="147">
        <f ca="1">IF(BRAND2=13,1,0)</f>
        <v>0</v>
      </c>
      <c r="O77" s="249">
        <f t="shared" ca="1" si="70"/>
        <v>0</v>
      </c>
      <c r="P77" s="44" t="s">
        <v>105</v>
      </c>
      <c r="Q77" s="149" t="s">
        <v>255</v>
      </c>
      <c r="R77" s="149" t="s">
        <v>260</v>
      </c>
      <c r="S77" s="149">
        <v>1</v>
      </c>
      <c r="T77" s="149"/>
      <c r="U77" s="150"/>
      <c r="V77" s="150"/>
      <c r="W77" s="150"/>
      <c r="X77" s="150"/>
      <c r="Y77" s="151"/>
      <c r="Z77" s="143"/>
      <c r="AA77" s="144"/>
      <c r="AB77" s="143"/>
      <c r="AC77" s="145"/>
      <c r="AD77" s="146"/>
      <c r="AE77" s="276" t="s">
        <v>261</v>
      </c>
      <c r="AF77" s="152" t="s">
        <v>176</v>
      </c>
      <c r="AG77" s="147"/>
      <c r="AH77" s="636" t="str">
        <f t="shared" ca="1" si="74"/>
        <v xml:space="preserve"> geldt vanaf 1-1-2025 (art. 4.1369)</v>
      </c>
      <c r="AI77" s="645"/>
      <c r="AJ77" s="269"/>
      <c r="AK77" s="626"/>
      <c r="AL77" s="147"/>
      <c r="AM77" s="655"/>
      <c r="AN77" s="834"/>
      <c r="AO77" s="325" t="str">
        <f t="shared" ca="1" si="7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7" s="325" t="str">
        <f t="shared" si="71"/>
        <v xml:space="preserve">Een periodieke meting bestaat uit drie deelmetingen van 15-30 minuten. De metingen mogen worden uitgevoerd door een geaccrediteerde laboratorium volgens NEN-EN 14791 (art. 4.1354). </v>
      </c>
      <c r="AQ77" s="325" t="str">
        <f t="shared" si="71"/>
        <v>De aangetoonde meetonzekerheid mag niet groter zijn dan 20% van de emissie-eis (art. 4.1354 en art. 4.1361).</v>
      </c>
      <c r="AR77" s="325" t="str">
        <f t="shared" si="7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7" s="156"/>
      <c r="AT77" s="149"/>
      <c r="AU77" s="150"/>
      <c r="AV77" s="150"/>
      <c r="AW77" s="150"/>
      <c r="AX77" s="151"/>
    </row>
    <row r="78" spans="1:50" x14ac:dyDescent="0.2">
      <c r="A78" s="295"/>
      <c r="B78" s="340"/>
      <c r="C78" s="341"/>
      <c r="D78" s="326"/>
      <c r="E78" s="46"/>
      <c r="F78" s="46"/>
      <c r="G78" s="147"/>
      <c r="H78" s="147"/>
      <c r="I78" s="148"/>
      <c r="J78" s="147"/>
      <c r="K78" s="148"/>
      <c r="L78" s="147"/>
      <c r="M78" s="56"/>
      <c r="N78" s="147"/>
      <c r="O78" s="59"/>
      <c r="P78" s="279"/>
      <c r="Q78" s="160"/>
      <c r="R78" s="149"/>
      <c r="S78" s="149"/>
      <c r="T78" s="149"/>
      <c r="U78" s="150"/>
      <c r="V78" s="150"/>
      <c r="W78" s="150"/>
      <c r="X78" s="150"/>
      <c r="Y78" s="151"/>
      <c r="Z78" s="143"/>
      <c r="AA78" s="144"/>
      <c r="AB78" s="143"/>
      <c r="AC78" s="145"/>
      <c r="AD78" s="146"/>
      <c r="AE78" s="276"/>
      <c r="AF78" s="152"/>
      <c r="AG78" s="147"/>
      <c r="AH78" s="636"/>
      <c r="AI78" s="645"/>
      <c r="AJ78" s="269"/>
      <c r="AK78" s="626"/>
      <c r="AL78" s="147"/>
      <c r="AM78" s="655"/>
      <c r="AN78" s="835"/>
      <c r="AO78" s="155"/>
      <c r="AP78" s="155"/>
      <c r="AQ78" s="155"/>
      <c r="AR78" s="155"/>
      <c r="AS78" s="149"/>
      <c r="AT78" s="155"/>
      <c r="AU78" s="157"/>
      <c r="AV78" s="157"/>
      <c r="AW78" s="157"/>
      <c r="AX78" s="151"/>
    </row>
    <row r="79" spans="1:50" x14ac:dyDescent="0.2">
      <c r="A79" s="363" t="s">
        <v>340</v>
      </c>
      <c r="B79" s="364"/>
      <c r="C79" s="365"/>
      <c r="D79" s="366"/>
      <c r="E79" s="367"/>
      <c r="F79" s="367"/>
      <c r="G79" s="368"/>
      <c r="H79" s="368"/>
      <c r="I79" s="369"/>
      <c r="J79" s="368"/>
      <c r="K79" s="369"/>
      <c r="L79" s="368"/>
      <c r="M79" s="370"/>
      <c r="N79" s="368"/>
      <c r="O79" s="371"/>
      <c r="P79" s="372"/>
      <c r="Q79" s="373"/>
      <c r="R79" s="374"/>
      <c r="S79" s="374"/>
      <c r="T79" s="374"/>
      <c r="U79" s="375"/>
      <c r="V79" s="375"/>
      <c r="W79" s="375"/>
      <c r="X79" s="375"/>
      <c r="Y79" s="376"/>
      <c r="Z79" s="377"/>
      <c r="AA79" s="378"/>
      <c r="AB79" s="377"/>
      <c r="AC79" s="379"/>
      <c r="AD79" s="380"/>
      <c r="AE79" s="381"/>
      <c r="AF79" s="382"/>
      <c r="AG79" s="368"/>
      <c r="AH79" s="637"/>
      <c r="AI79" s="646"/>
      <c r="AJ79" s="383"/>
      <c r="AK79" s="627"/>
      <c r="AL79" s="368"/>
      <c r="AM79" s="656"/>
      <c r="AN79" s="836"/>
      <c r="AO79" s="346" t="str">
        <f ca="1">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9" s="346" t="str">
        <f t="shared" ref="AP79:AR79" si="75">AP65</f>
        <v xml:space="preserve">Een periodieke meting bestaat uit drie deelmetingen van 15-30 minuten. De metingen mogen worden uitgevoerd door een geaccrediteerde laboratorium volgens NEN-EN 14791 (art. 4.1354). </v>
      </c>
      <c r="AQ79" s="346" t="str">
        <f t="shared" si="75"/>
        <v>De aangetoonde meetonzekerheid mag niet groter zijn dan 20% van de emissie-eis (art. 4.1354 en art. 4.1361).</v>
      </c>
      <c r="AR79" s="346" t="str">
        <f t="shared" si="75"/>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9" s="346"/>
      <c r="AT79" s="336"/>
      <c r="AU79" s="337"/>
      <c r="AV79" s="337"/>
      <c r="AW79" s="337"/>
      <c r="AX79" s="335"/>
    </row>
    <row r="80" spans="1:50" x14ac:dyDescent="0.2">
      <c r="A80" s="393"/>
      <c r="B80" s="339">
        <f t="shared" ref="B80:B81" ca="1" si="76">IF(AND(SUM(D80:K80,L80:M80)=COUNT(D80:K80,L80:M80),COUNT(D80:K80,L80:M80)&gt;0),ROW(B80),0)</f>
        <v>0</v>
      </c>
      <c r="C80" s="249">
        <f t="shared" ref="C80:C81" ca="1" si="77">IF(AND(SUM(D80:K80,N80:O80)=COUNT(D80:K80,N80:O80),COUNT(D80:K80,N80:O80)&gt;0),ROW(B80),0)</f>
        <v>0</v>
      </c>
      <c r="D80" s="246">
        <f t="shared" ref="D80:D84" ca="1" si="78">IF(AND(OR($Z80="",INGVAN="",$Z80&lt;=INGVAN),OR($Z80="",INGTOT="",$Z80&lt;=INGTOT),OR($AA80="",INGVAN="",$AA80&gt;=INGVAN),OR($AA80="",INGTOT="",$AA80&gt;=INGTOT)),1,0)</f>
        <v>1</v>
      </c>
      <c r="E80" s="247">
        <f t="shared" ref="E80:E81" ca="1" si="79">IF(AND(OR($AB80="",Tdatum&gt;=$AB80,AND(AB80&lt;&gt;"",ISNUMBER(FIND("j",LOWER(AD80))))),OR($AC80="",Tdatum&lt;=$AC80)),1,0)</f>
        <v>1</v>
      </c>
      <c r="F80" s="247">
        <f t="shared" ca="1" si="16"/>
        <v>1</v>
      </c>
      <c r="G80" s="147">
        <f ca="1">IF(SI=3,1,0)</f>
        <v>0</v>
      </c>
      <c r="H80" s="147"/>
      <c r="I80" s="148"/>
      <c r="J80" s="147"/>
      <c r="K80" s="148"/>
      <c r="L80" s="147">
        <f ca="1">IF(BRAND1=12,1,0)</f>
        <v>0</v>
      </c>
      <c r="M80" s="248">
        <f t="shared" ref="M80:M81" ca="1" si="80">IF(AND(ParBAL1&lt;&gt;"",ParBAL1=P80),1,0)</f>
        <v>0</v>
      </c>
      <c r="N80" s="147">
        <f ca="1">IF(BRAND2=12,1,0)</f>
        <v>0</v>
      </c>
      <c r="O80" s="249">
        <f t="shared" ref="O80:O81" ca="1" si="81">IF(AND(ParBAL2&lt;&gt;"",ParBAL2=P80),1,0)</f>
        <v>0</v>
      </c>
      <c r="P80" s="44" t="s">
        <v>105</v>
      </c>
      <c r="Q80" s="149" t="s">
        <v>270</v>
      </c>
      <c r="R80" s="149" t="s">
        <v>259</v>
      </c>
      <c r="S80" s="149">
        <v>1</v>
      </c>
      <c r="T80" s="149"/>
      <c r="U80" s="150"/>
      <c r="V80" s="150"/>
      <c r="W80" s="150"/>
      <c r="X80" s="150"/>
      <c r="Y80" s="151"/>
      <c r="Z80" s="143"/>
      <c r="AA80" s="144">
        <f>IWTMCP</f>
        <v>43454</v>
      </c>
      <c r="AB80" s="143"/>
      <c r="AC80" s="145"/>
      <c r="AD80" s="146"/>
      <c r="AE80" s="276" t="s">
        <v>402</v>
      </c>
      <c r="AF80" s="152" t="s">
        <v>403</v>
      </c>
      <c r="AG80" s="687"/>
      <c r="AH80" s="688"/>
      <c r="AI80" s="689"/>
      <c r="AJ80" s="690"/>
      <c r="AK80" s="691"/>
      <c r="AL80" s="687"/>
      <c r="AM80" s="692"/>
      <c r="AN80" s="851"/>
      <c r="AO80" s="694" t="str">
        <f ca="1">AO$79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80" s="693" t="str">
        <f t="shared" ref="AP80:AR83" si="82">AP$79</f>
        <v xml:space="preserve">Een periodieke meting bestaat uit drie deelmetingen van 15-30 minuten. De metingen mogen worden uitgevoerd door een geaccrediteerde laboratorium volgens NEN-EN 14791 (art. 4.1354). </v>
      </c>
      <c r="AQ80" s="693" t="str">
        <f t="shared" si="82"/>
        <v>De aangetoonde meetonzekerheid mag niet groter zijn dan 20% van de emissie-eis (art. 4.1354 en art. 4.1361).</v>
      </c>
      <c r="AR80" s="693" t="str">
        <f t="shared" si="82"/>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0" s="694"/>
      <c r="AT80" s="155"/>
      <c r="AU80" s="157"/>
      <c r="AV80" s="157"/>
      <c r="AW80" s="157"/>
      <c r="AX80" s="151"/>
    </row>
    <row r="81" spans="1:50" x14ac:dyDescent="0.2">
      <c r="A81" s="393"/>
      <c r="B81" s="339">
        <f t="shared" ca="1" si="76"/>
        <v>0</v>
      </c>
      <c r="C81" s="249">
        <f t="shared" ca="1" si="77"/>
        <v>0</v>
      </c>
      <c r="D81" s="246">
        <f t="shared" ca="1" si="78"/>
        <v>1</v>
      </c>
      <c r="E81" s="247">
        <f t="shared" ca="1" si="79"/>
        <v>1</v>
      </c>
      <c r="F81" s="247">
        <f t="shared" ca="1" si="16"/>
        <v>1</v>
      </c>
      <c r="G81" s="147">
        <f ca="1">IF(SI=3,1,0)</f>
        <v>0</v>
      </c>
      <c r="H81" s="147"/>
      <c r="I81" s="148"/>
      <c r="J81" s="147"/>
      <c r="K81" s="148"/>
      <c r="L81" s="147">
        <f ca="1">IF(BRAND1=13,1,0)</f>
        <v>0</v>
      </c>
      <c r="M81" s="248">
        <f t="shared" ca="1" si="80"/>
        <v>0</v>
      </c>
      <c r="N81" s="147">
        <f ca="1">IF(BRAND2=13,1,0)</f>
        <v>0</v>
      </c>
      <c r="O81" s="249">
        <f t="shared" ca="1" si="81"/>
        <v>0</v>
      </c>
      <c r="P81" s="44" t="s">
        <v>105</v>
      </c>
      <c r="Q81" s="149" t="s">
        <v>270</v>
      </c>
      <c r="R81" s="149" t="s">
        <v>260</v>
      </c>
      <c r="S81" s="149">
        <v>1</v>
      </c>
      <c r="T81" s="149"/>
      <c r="U81" s="150"/>
      <c r="V81" s="150"/>
      <c r="W81" s="150"/>
      <c r="X81" s="150"/>
      <c r="Y81" s="151"/>
      <c r="Z81" s="143"/>
      <c r="AA81" s="144">
        <f>IWTMCP</f>
        <v>43454</v>
      </c>
      <c r="AB81" s="143"/>
      <c r="AC81" s="145"/>
      <c r="AD81" s="146"/>
      <c r="AE81" s="276" t="s">
        <v>402</v>
      </c>
      <c r="AF81" s="152" t="s">
        <v>385</v>
      </c>
      <c r="AG81" s="687"/>
      <c r="AH81" s="688"/>
      <c r="AI81" s="689"/>
      <c r="AJ81" s="690"/>
      <c r="AK81" s="691"/>
      <c r="AL81" s="687"/>
      <c r="AM81" s="692"/>
      <c r="AN81" s="851"/>
      <c r="AO81" s="694" t="str">
        <f t="shared" ref="AO81:AO83" ca="1" si="83">AO$79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81" s="693" t="str">
        <f t="shared" si="82"/>
        <v xml:space="preserve">Een periodieke meting bestaat uit drie deelmetingen van 15-30 minuten. De metingen mogen worden uitgevoerd door een geaccrediteerde laboratorium volgens NEN-EN 14791 (art. 4.1354). </v>
      </c>
      <c r="AQ81" s="693" t="str">
        <f t="shared" si="82"/>
        <v>De aangetoonde meetonzekerheid mag niet groter zijn dan 20% van de emissie-eis (art. 4.1354 en art. 4.1361).</v>
      </c>
      <c r="AR81" s="693" t="str">
        <f t="shared" si="82"/>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1" s="694"/>
      <c r="AT81" s="155"/>
      <c r="AU81" s="157"/>
      <c r="AV81" s="157"/>
      <c r="AW81" s="157"/>
      <c r="AX81" s="151"/>
    </row>
    <row r="82" spans="1:50" x14ac:dyDescent="0.2">
      <c r="A82" s="393"/>
      <c r="B82" s="339">
        <f t="shared" ref="B82:B84" ca="1" si="84">IF(AND(SUM(D82:K82,L82:M82)=COUNT(D82:K82,L82:M82),COUNT(D82:K82,L82:M82)&gt;0),ROW(B82),0)</f>
        <v>0</v>
      </c>
      <c r="C82" s="249">
        <f t="shared" ref="C82:C84" ca="1" si="85">IF(AND(SUM(D82:K82,N82:O82)=COUNT(D82:K82,N82:O82),COUNT(D82:K82,N82:O82)&gt;0),ROW(B82),0)</f>
        <v>0</v>
      </c>
      <c r="D82" s="246">
        <f t="shared" ca="1" si="78"/>
        <v>1</v>
      </c>
      <c r="E82" s="247">
        <f t="shared" ref="E82:E84" ca="1" si="86">IF(AND(OR($AB82="",Tdatum&gt;=$AB82,AND(AB82&lt;&gt;"",ISNUMBER(FIND("j",LOWER(AD82))))),OR($AC82="",Tdatum&lt;=$AC82)),1,0)</f>
        <v>1</v>
      </c>
      <c r="F82" s="247">
        <f t="shared" ca="1" si="16"/>
        <v>1</v>
      </c>
      <c r="G82" s="147">
        <f ca="1">IF(SI=4,1,0)</f>
        <v>0</v>
      </c>
      <c r="H82" s="147"/>
      <c r="I82" s="148"/>
      <c r="J82" s="147"/>
      <c r="K82" s="148"/>
      <c r="L82" s="147">
        <f ca="1">IF(BRAND1=12,1,0)</f>
        <v>0</v>
      </c>
      <c r="M82" s="248">
        <f t="shared" ref="M82:M84" ca="1" si="87">IF(AND(ParBAL1&lt;&gt;"",ParBAL1=P82),1,0)</f>
        <v>0</v>
      </c>
      <c r="N82" s="147">
        <f ca="1">IF(BRAND2=12,1,0)</f>
        <v>0</v>
      </c>
      <c r="O82" s="249">
        <f t="shared" ref="O82:O84" ca="1" si="88">IF(AND(ParBAL2&lt;&gt;"",ParBAL2=P82),1,0)</f>
        <v>0</v>
      </c>
      <c r="P82" s="44" t="s">
        <v>105</v>
      </c>
      <c r="Q82" s="149" t="s">
        <v>404</v>
      </c>
      <c r="R82" s="149" t="s">
        <v>259</v>
      </c>
      <c r="S82" s="149">
        <v>1</v>
      </c>
      <c r="T82" s="149"/>
      <c r="U82" s="150"/>
      <c r="V82" s="150"/>
      <c r="W82" s="150"/>
      <c r="X82" s="150"/>
      <c r="Y82" s="151"/>
      <c r="Z82" s="143"/>
      <c r="AA82" s="144">
        <f>IWTMCP</f>
        <v>43454</v>
      </c>
      <c r="AB82" s="143"/>
      <c r="AC82" s="145"/>
      <c r="AD82" s="146"/>
      <c r="AE82" s="276" t="s">
        <v>402</v>
      </c>
      <c r="AF82" s="152" t="s">
        <v>403</v>
      </c>
      <c r="AG82" s="687"/>
      <c r="AH82" s="688"/>
      <c r="AI82" s="689"/>
      <c r="AJ82" s="690"/>
      <c r="AK82" s="691"/>
      <c r="AL82" s="687"/>
      <c r="AM82" s="692"/>
      <c r="AN82" s="851"/>
      <c r="AO82" s="694" t="str">
        <f t="shared" ca="1" si="83"/>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82" s="693" t="str">
        <f t="shared" si="82"/>
        <v xml:space="preserve">Een periodieke meting bestaat uit drie deelmetingen van 15-30 minuten. De metingen mogen worden uitgevoerd door een geaccrediteerde laboratorium volgens NEN-EN 14791 (art. 4.1354). </v>
      </c>
      <c r="AQ82" s="693" t="str">
        <f t="shared" si="82"/>
        <v>De aangetoonde meetonzekerheid mag niet groter zijn dan 20% van de emissie-eis (art. 4.1354 en art. 4.1361).</v>
      </c>
      <c r="AR82" s="693" t="str">
        <f t="shared" si="82"/>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2" s="694"/>
      <c r="AT82" s="155"/>
      <c r="AU82" s="157"/>
      <c r="AV82" s="157"/>
      <c r="AW82" s="157"/>
      <c r="AX82" s="151"/>
    </row>
    <row r="83" spans="1:50" x14ac:dyDescent="0.2">
      <c r="A83" s="393"/>
      <c r="B83" s="339">
        <f t="shared" ca="1" si="84"/>
        <v>0</v>
      </c>
      <c r="C83" s="249">
        <f t="shared" ca="1" si="85"/>
        <v>0</v>
      </c>
      <c r="D83" s="246">
        <f t="shared" ca="1" si="78"/>
        <v>1</v>
      </c>
      <c r="E83" s="247">
        <f t="shared" ca="1" si="86"/>
        <v>1</v>
      </c>
      <c r="F83" s="247">
        <f t="shared" ca="1" si="16"/>
        <v>1</v>
      </c>
      <c r="G83" s="147">
        <f ca="1">IF(SI=4,1,0)</f>
        <v>0</v>
      </c>
      <c r="H83" s="147"/>
      <c r="I83" s="148"/>
      <c r="J83" s="147"/>
      <c r="K83" s="148"/>
      <c r="L83" s="147">
        <f ca="1">IF(BRAND1=13,1,0)</f>
        <v>0</v>
      </c>
      <c r="M83" s="248">
        <f t="shared" ca="1" si="87"/>
        <v>0</v>
      </c>
      <c r="N83" s="147">
        <f ca="1">IF(BRAND2=13,1,0)</f>
        <v>0</v>
      </c>
      <c r="O83" s="249">
        <f t="shared" ca="1" si="88"/>
        <v>0</v>
      </c>
      <c r="P83" s="44" t="s">
        <v>105</v>
      </c>
      <c r="Q83" s="149" t="s">
        <v>404</v>
      </c>
      <c r="R83" s="149" t="s">
        <v>260</v>
      </c>
      <c r="S83" s="149">
        <v>1</v>
      </c>
      <c r="T83" s="149"/>
      <c r="U83" s="150"/>
      <c r="V83" s="150"/>
      <c r="W83" s="150"/>
      <c r="X83" s="150"/>
      <c r="Y83" s="151"/>
      <c r="Z83" s="143"/>
      <c r="AA83" s="144">
        <f>IWTMCP</f>
        <v>43454</v>
      </c>
      <c r="AB83" s="143"/>
      <c r="AC83" s="145"/>
      <c r="AD83" s="146"/>
      <c r="AE83" s="276" t="s">
        <v>402</v>
      </c>
      <c r="AF83" s="152" t="s">
        <v>385</v>
      </c>
      <c r="AG83" s="687"/>
      <c r="AH83" s="688"/>
      <c r="AI83" s="689"/>
      <c r="AJ83" s="690"/>
      <c r="AK83" s="691"/>
      <c r="AL83" s="687"/>
      <c r="AM83" s="692"/>
      <c r="AN83" s="851"/>
      <c r="AO83" s="694" t="str">
        <f t="shared" ca="1" si="83"/>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83" s="693" t="str">
        <f t="shared" si="82"/>
        <v xml:space="preserve">Een periodieke meting bestaat uit drie deelmetingen van 15-30 minuten. De metingen mogen worden uitgevoerd door een geaccrediteerde laboratorium volgens NEN-EN 14791 (art. 4.1354). </v>
      </c>
      <c r="AQ83" s="693" t="str">
        <f t="shared" si="82"/>
        <v>De aangetoonde meetonzekerheid mag niet groter zijn dan 20% van de emissie-eis (art. 4.1354 en art. 4.1361).</v>
      </c>
      <c r="AR83" s="693" t="str">
        <f t="shared" si="82"/>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3" s="694"/>
      <c r="AT83" s="155"/>
      <c r="AU83" s="157"/>
      <c r="AV83" s="157"/>
      <c r="AW83" s="157"/>
      <c r="AX83" s="151"/>
    </row>
    <row r="84" spans="1:50" x14ac:dyDescent="0.2">
      <c r="A84" s="295"/>
      <c r="B84" s="745">
        <f t="shared" ca="1" si="84"/>
        <v>0</v>
      </c>
      <c r="C84" s="746">
        <f t="shared" ca="1" si="85"/>
        <v>0</v>
      </c>
      <c r="D84" s="747">
        <f t="shared" ca="1" si="78"/>
        <v>1</v>
      </c>
      <c r="E84" s="748">
        <f t="shared" ca="1" si="86"/>
        <v>1</v>
      </c>
      <c r="F84" s="748">
        <f t="shared" ca="1" si="16"/>
        <v>1</v>
      </c>
      <c r="G84" s="749">
        <f t="shared" ref="G84" ca="1" si="89">IF(AND(TSI&gt;0,TSI&lt;3),1,0)</f>
        <v>1</v>
      </c>
      <c r="H84" s="749"/>
      <c r="I84" s="750"/>
      <c r="J84" s="749"/>
      <c r="K84" s="750"/>
      <c r="L84" s="749">
        <f ca="1">IF(AND(BRAND1&gt;=8,BRAND1&lt;=10),1,0)</f>
        <v>0</v>
      </c>
      <c r="M84" s="751">
        <f t="shared" ca="1" si="87"/>
        <v>0</v>
      </c>
      <c r="N84" s="749">
        <f ca="1">IF(AND(BRAND2&gt;=8,BRAND2&lt;=10),1,0)</f>
        <v>0</v>
      </c>
      <c r="O84" s="746">
        <f t="shared" ca="1" si="88"/>
        <v>0</v>
      </c>
      <c r="P84" s="752" t="s">
        <v>105</v>
      </c>
      <c r="Q84" s="753" t="s">
        <v>255</v>
      </c>
      <c r="R84" s="753" t="s">
        <v>206</v>
      </c>
      <c r="S84" s="753">
        <v>1</v>
      </c>
      <c r="T84" s="753"/>
      <c r="U84" s="755"/>
      <c r="V84" s="755"/>
      <c r="W84" s="755"/>
      <c r="X84" s="755"/>
      <c r="Y84" s="756"/>
      <c r="Z84" s="757"/>
      <c r="AA84" s="758">
        <f>IWTBAL-1</f>
        <v>45291</v>
      </c>
      <c r="AB84" s="757"/>
      <c r="AC84" s="759"/>
      <c r="AD84" s="760"/>
      <c r="AE84" s="761" t="s">
        <v>516</v>
      </c>
      <c r="AF84" s="762" t="s">
        <v>274</v>
      </c>
      <c r="AG84" s="147"/>
      <c r="AH84" s="636" t="str">
        <f t="shared" ref="AH84" ca="1" si="90">IF(INGTOT&lt;=IWTMCP,CONCATENATE(" geldt vanaf ",IWTMCPbesttxt," (art. 4.1369)"),"")</f>
        <v xml:space="preserve"> geldt vanaf 1-1-2025 (art. 4.1369)</v>
      </c>
      <c r="AI84" s="645"/>
      <c r="AJ84" s="269"/>
      <c r="AK84" s="626"/>
      <c r="AL84" s="147"/>
      <c r="AM84" s="655"/>
      <c r="AN84" s="834"/>
      <c r="AO84" s="325" t="str">
        <f t="shared" ref="AO84:AR84" ca="1" si="91">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84" s="325" t="str">
        <f t="shared" si="91"/>
        <v xml:space="preserve">Een periodieke meting bestaat uit drie deelmetingen van 15-30 minuten. De metingen mogen worden uitgevoerd door een geaccrediteerde laboratorium volgens NEN-EN 14791 (art. 4.1354). </v>
      </c>
      <c r="AQ84" s="325" t="str">
        <f t="shared" si="91"/>
        <v>De aangetoonde meetonzekerheid mag niet groter zijn dan 20% van de emissie-eis (art. 4.1354 en art. 4.1361).</v>
      </c>
      <c r="AR84" s="325" t="str">
        <f t="shared" si="9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4" s="156"/>
      <c r="AT84" s="149"/>
      <c r="AU84" s="150"/>
      <c r="AV84" s="150"/>
      <c r="AW84" s="150"/>
      <c r="AX84" s="151"/>
    </row>
    <row r="85" spans="1:50" x14ac:dyDescent="0.2">
      <c r="A85" s="584"/>
      <c r="B85" s="585"/>
      <c r="C85" s="586"/>
      <c r="D85" s="587"/>
      <c r="E85" s="588"/>
      <c r="F85" s="588"/>
      <c r="G85" s="589"/>
      <c r="H85" s="589"/>
      <c r="I85" s="590"/>
      <c r="J85" s="589"/>
      <c r="K85" s="590"/>
      <c r="L85" s="589"/>
      <c r="M85" s="591"/>
      <c r="N85" s="589"/>
      <c r="O85" s="592"/>
      <c r="P85" s="593"/>
      <c r="Q85" s="594"/>
      <c r="R85" s="595"/>
      <c r="S85" s="595"/>
      <c r="T85" s="595"/>
      <c r="U85" s="596"/>
      <c r="V85" s="596"/>
      <c r="W85" s="596"/>
      <c r="X85" s="596"/>
      <c r="Y85" s="597"/>
      <c r="Z85" s="598"/>
      <c r="AA85" s="599"/>
      <c r="AB85" s="598"/>
      <c r="AC85" s="600"/>
      <c r="AD85" s="601"/>
      <c r="AE85" s="602"/>
      <c r="AF85" s="603"/>
      <c r="AG85" s="589"/>
      <c r="AH85" s="638"/>
      <c r="AI85" s="647"/>
      <c r="AJ85" s="604"/>
      <c r="AK85" s="628"/>
      <c r="AL85" s="589"/>
      <c r="AM85" s="657"/>
      <c r="AN85" s="837"/>
      <c r="AO85" s="606"/>
      <c r="AP85" s="606"/>
      <c r="AQ85" s="606"/>
      <c r="AR85" s="606"/>
      <c r="AS85" s="595"/>
      <c r="AT85" s="606"/>
      <c r="AU85" s="607"/>
      <c r="AV85" s="607"/>
      <c r="AW85" s="607"/>
      <c r="AX85" s="597"/>
    </row>
    <row r="86" spans="1:50" x14ac:dyDescent="0.2">
      <c r="A86" s="393" t="s">
        <v>291</v>
      </c>
      <c r="B86" s="394"/>
      <c r="C86" s="395"/>
      <c r="D86" s="396"/>
      <c r="E86" s="397"/>
      <c r="F86" s="397"/>
      <c r="G86" s="398"/>
      <c r="H86" s="398"/>
      <c r="I86" s="399"/>
      <c r="J86" s="398"/>
      <c r="K86" s="399"/>
      <c r="L86" s="398"/>
      <c r="M86" s="400"/>
      <c r="N86" s="398"/>
      <c r="O86" s="401"/>
      <c r="P86" s="402"/>
      <c r="Q86" s="403"/>
      <c r="R86" s="404"/>
      <c r="S86" s="404"/>
      <c r="T86" s="404"/>
      <c r="U86" s="405"/>
      <c r="V86" s="405"/>
      <c r="W86" s="405"/>
      <c r="X86" s="405"/>
      <c r="Y86" s="406"/>
      <c r="Z86" s="407"/>
      <c r="AA86" s="408"/>
      <c r="AB86" s="407"/>
      <c r="AC86" s="409"/>
      <c r="AD86" s="410"/>
      <c r="AE86" s="411"/>
      <c r="AF86" s="412"/>
      <c r="AG86" s="398"/>
      <c r="AH86" s="639"/>
      <c r="AI86" s="648"/>
      <c r="AJ86" s="413"/>
      <c r="AK86" s="629"/>
      <c r="AL86" s="398"/>
      <c r="AM86" s="658"/>
      <c r="AN86" s="838"/>
      <c r="AO86" s="333" t="s">
        <v>501</v>
      </c>
      <c r="AP86" s="333" t="s">
        <v>280</v>
      </c>
      <c r="AQ86" s="333" t="s">
        <v>279</v>
      </c>
      <c r="AR86" s="333" t="s">
        <v>499</v>
      </c>
      <c r="AS86" s="327"/>
      <c r="AT86" s="330"/>
      <c r="AU86" s="331"/>
      <c r="AV86" s="331"/>
      <c r="AW86" s="331"/>
      <c r="AX86" s="328"/>
    </row>
    <row r="87" spans="1:50" x14ac:dyDescent="0.2">
      <c r="A87" s="295"/>
      <c r="B87" s="339">
        <f t="shared" ref="B87" ca="1" si="92">IF(AND(SUM(D87:K87,L87:M87)=COUNT(D87:K87,L87:M87),COUNT(D87:K87,L87:M87)&gt;0),ROW(B87),0)</f>
        <v>0</v>
      </c>
      <c r="C87" s="249">
        <f t="shared" ref="C87" ca="1" si="93">IF(AND(SUM(D87:K87,N87:O87)=COUNT(D87:K87,N87:O87),COUNT(D87:K87,N87:O87)&gt;0),ROW(B87),0)</f>
        <v>0</v>
      </c>
      <c r="D87" s="246">
        <f ca="1">IF(AND(OR($Z87="",INGVAN="",$Z87&lt;=INGVAN),OR($Z87="",INGTOT="",$Z87&lt;=INGTOT),OR($AA87="",INGVAN="",$AA87&gt;=INGVAN),OR($AA87="",INGTOT="",$AA87&gt;=INGTOT)),1,0)</f>
        <v>1</v>
      </c>
      <c r="E87" s="247">
        <f t="shared" ref="E87" ca="1" si="94">IF(AND(OR($AB87="",Tdatum&gt;=$AB87,AND(AB87&lt;&gt;"",ISNUMBER(FIND("j",LOWER(AD87))))),OR($AC87="",Tdatum&lt;=$AC87)),1,0)</f>
        <v>1</v>
      </c>
      <c r="F87" s="247">
        <f t="shared" ca="1" si="16"/>
        <v>1</v>
      </c>
      <c r="G87" s="147">
        <f ca="1">IF(TSI=3,1,0)</f>
        <v>0</v>
      </c>
      <c r="H87" s="147"/>
      <c r="I87" s="148"/>
      <c r="J87" s="147"/>
      <c r="K87" s="148"/>
      <c r="L87" s="147">
        <f ca="1">IF(TBRAND1&lt;&gt;3,1,0)</f>
        <v>1</v>
      </c>
      <c r="M87" s="56"/>
      <c r="N87" s="147">
        <f ca="1">IF(AND(ABRAND2&gt;0,TBRAND2&lt;&gt;3),1,0)</f>
        <v>0</v>
      </c>
      <c r="O87" s="59"/>
      <c r="P87" s="279" t="s">
        <v>41</v>
      </c>
      <c r="Q87" s="149" t="s">
        <v>532</v>
      </c>
      <c r="R87" s="149" t="s">
        <v>277</v>
      </c>
      <c r="S87" s="149">
        <v>0.1</v>
      </c>
      <c r="T87" s="149"/>
      <c r="U87" s="150" t="s">
        <v>276</v>
      </c>
      <c r="V87" s="150"/>
      <c r="W87" s="150"/>
      <c r="X87" s="150"/>
      <c r="Y87" s="151"/>
      <c r="Z87" s="143"/>
      <c r="AA87" s="144"/>
      <c r="AB87" s="143"/>
      <c r="AC87" s="145"/>
      <c r="AD87" s="146"/>
      <c r="AE87" s="276" t="s">
        <v>273</v>
      </c>
      <c r="AF87" s="152" t="s">
        <v>160</v>
      </c>
      <c r="AG87" s="147"/>
      <c r="AH87" s="636" t="str">
        <f ca="1">CONCATENATE(" eis geldt vanaf een emissie vanaf ",U87,". ",IF(ParBAL1="4.126","Voor deze eis is maatwerk nodig, omdat deze installatie onder paragraaf 4.126 valt.",""))</f>
        <v xml:space="preserve"> eis geldt vanaf een emissie vanaf 1000 kg/jaar. Voor deze eis is maatwerk nodig, omdat deze installatie onder paragraaf 4.126 valt.</v>
      </c>
      <c r="AI87" s="645"/>
      <c r="AJ87" s="269"/>
      <c r="AK87" s="626"/>
      <c r="AL87" s="147"/>
      <c r="AM87" s="655"/>
      <c r="AN87" s="845"/>
      <c r="AO87" s="149" t="str">
        <f>AO$86</f>
        <v>Meetverplichting volgt uit de storingsfactor (zie art. 5.32)</v>
      </c>
      <c r="AP87" s="149" t="str">
        <f t="shared" ref="AP87:AR87" si="95">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7" s="149" t="str">
        <f t="shared" si="95"/>
        <v>De aangetoonde meetonzekerheid mag niet groter zijn dan 20% van de emissie-eis (tabel 5.36).</v>
      </c>
      <c r="AR87" s="149" t="str">
        <f t="shared" si="95"/>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4.1362). </v>
      </c>
      <c r="AS87" s="149"/>
      <c r="AT87" s="149"/>
      <c r="AU87" s="150"/>
      <c r="AV87" s="150"/>
      <c r="AW87" s="150"/>
      <c r="AX87" s="151"/>
    </row>
    <row r="88" spans="1:50" x14ac:dyDescent="0.2">
      <c r="A88" s="295"/>
      <c r="B88" s="340"/>
      <c r="C88" s="341"/>
      <c r="D88" s="326"/>
      <c r="E88" s="46"/>
      <c r="F88" s="46"/>
      <c r="G88" s="147"/>
      <c r="H88" s="147"/>
      <c r="I88" s="148"/>
      <c r="J88" s="147"/>
      <c r="K88" s="148"/>
      <c r="L88" s="147"/>
      <c r="M88" s="56"/>
      <c r="N88" s="147"/>
      <c r="O88" s="59"/>
      <c r="P88" s="279"/>
      <c r="Q88" s="160"/>
      <c r="R88" s="149"/>
      <c r="S88" s="149"/>
      <c r="T88" s="149"/>
      <c r="U88" s="150"/>
      <c r="V88" s="150"/>
      <c r="W88" s="150"/>
      <c r="X88" s="150"/>
      <c r="Y88" s="151"/>
      <c r="Z88" s="143"/>
      <c r="AA88" s="144"/>
      <c r="AB88" s="143"/>
      <c r="AC88" s="145"/>
      <c r="AD88" s="146"/>
      <c r="AE88" s="276"/>
      <c r="AF88" s="152"/>
      <c r="AG88" s="147"/>
      <c r="AH88" s="636"/>
      <c r="AI88" s="645"/>
      <c r="AJ88" s="269"/>
      <c r="AK88" s="626"/>
      <c r="AL88" s="147"/>
      <c r="AM88" s="655"/>
      <c r="AN88" s="835"/>
      <c r="AO88" s="155"/>
      <c r="AP88" s="155"/>
      <c r="AQ88" s="155"/>
      <c r="AR88" s="155"/>
      <c r="AS88" s="149"/>
      <c r="AT88" s="155"/>
      <c r="AU88" s="157"/>
      <c r="AV88" s="157"/>
      <c r="AW88" s="157"/>
      <c r="AX88" s="151"/>
    </row>
    <row r="89" spans="1:50" x14ac:dyDescent="0.2">
      <c r="A89" s="363" t="s">
        <v>341</v>
      </c>
      <c r="B89" s="364"/>
      <c r="C89" s="365"/>
      <c r="D89" s="366"/>
      <c r="E89" s="367"/>
      <c r="F89" s="367"/>
      <c r="G89" s="368"/>
      <c r="H89" s="368"/>
      <c r="I89" s="369"/>
      <c r="J89" s="368"/>
      <c r="K89" s="369"/>
      <c r="L89" s="368"/>
      <c r="M89" s="370"/>
      <c r="N89" s="368"/>
      <c r="O89" s="371"/>
      <c r="P89" s="372"/>
      <c r="Q89" s="373"/>
      <c r="R89" s="374"/>
      <c r="S89" s="374"/>
      <c r="T89" s="374"/>
      <c r="U89" s="375"/>
      <c r="V89" s="375"/>
      <c r="W89" s="375"/>
      <c r="X89" s="375"/>
      <c r="Y89" s="376"/>
      <c r="Z89" s="377"/>
      <c r="AA89" s="378"/>
      <c r="AB89" s="377"/>
      <c r="AC89" s="379"/>
      <c r="AD89" s="380"/>
      <c r="AE89" s="381"/>
      <c r="AF89" s="382"/>
      <c r="AG89" s="368"/>
      <c r="AH89" s="637"/>
      <c r="AI89" s="646"/>
      <c r="AJ89" s="383"/>
      <c r="AK89" s="627"/>
      <c r="AL89" s="368"/>
      <c r="AM89" s="656"/>
      <c r="AN89" s="836"/>
      <c r="AO89" s="346"/>
      <c r="AP89" s="346"/>
      <c r="AQ89" s="346"/>
      <c r="AR89" s="346"/>
      <c r="AS89" s="346"/>
      <c r="AT89" s="336"/>
      <c r="AU89" s="337"/>
      <c r="AV89" s="337"/>
      <c r="AW89" s="337"/>
      <c r="AX89" s="335"/>
    </row>
    <row r="90" spans="1:50" x14ac:dyDescent="0.2">
      <c r="A90" s="584"/>
      <c r="B90" s="585"/>
      <c r="C90" s="586"/>
      <c r="D90" s="608"/>
      <c r="E90" s="589"/>
      <c r="F90" s="589"/>
      <c r="G90" s="589"/>
      <c r="H90" s="589"/>
      <c r="I90" s="590"/>
      <c r="J90" s="589"/>
      <c r="K90" s="590"/>
      <c r="L90" s="589"/>
      <c r="M90" s="590"/>
      <c r="N90" s="590"/>
      <c r="O90" s="590"/>
      <c r="P90" s="593"/>
      <c r="Q90" s="595"/>
      <c r="R90" s="595"/>
      <c r="S90" s="595"/>
      <c r="T90" s="595"/>
      <c r="U90" s="596"/>
      <c r="V90" s="596"/>
      <c r="W90" s="596"/>
      <c r="X90" s="596"/>
      <c r="Y90" s="597"/>
      <c r="Z90" s="598"/>
      <c r="AA90" s="599"/>
      <c r="AB90" s="598"/>
      <c r="AC90" s="600"/>
      <c r="AD90" s="601"/>
      <c r="AE90" s="602"/>
      <c r="AF90" s="603"/>
      <c r="AG90" s="589"/>
      <c r="AH90" s="638"/>
      <c r="AI90" s="647"/>
      <c r="AJ90" s="604"/>
      <c r="AK90" s="628"/>
      <c r="AL90" s="589"/>
      <c r="AM90" s="657"/>
      <c r="AN90" s="846"/>
      <c r="AO90" s="595"/>
      <c r="AP90" s="595"/>
      <c r="AQ90" s="595"/>
      <c r="AR90" s="595"/>
      <c r="AS90" s="595"/>
      <c r="AT90" s="595"/>
      <c r="AU90" s="596"/>
      <c r="AV90" s="596"/>
      <c r="AW90" s="596"/>
      <c r="AX90" s="597"/>
    </row>
    <row r="91" spans="1:50" x14ac:dyDescent="0.2">
      <c r="A91" s="393" t="s">
        <v>290</v>
      </c>
      <c r="B91" s="394"/>
      <c r="C91" s="395"/>
      <c r="D91" s="396"/>
      <c r="E91" s="397"/>
      <c r="F91" s="397"/>
      <c r="G91" s="398"/>
      <c r="H91" s="398"/>
      <c r="I91" s="399"/>
      <c r="J91" s="398"/>
      <c r="K91" s="399"/>
      <c r="L91" s="398"/>
      <c r="M91" s="400"/>
      <c r="N91" s="398"/>
      <c r="O91" s="401"/>
      <c r="P91" s="402"/>
      <c r="Q91" s="403"/>
      <c r="R91" s="404"/>
      <c r="S91" s="404"/>
      <c r="T91" s="404"/>
      <c r="U91" s="405"/>
      <c r="V91" s="405"/>
      <c r="W91" s="405"/>
      <c r="X91" s="405"/>
      <c r="Y91" s="406"/>
      <c r="Z91" s="407"/>
      <c r="AA91" s="408"/>
      <c r="AB91" s="407"/>
      <c r="AC91" s="409"/>
      <c r="AD91" s="410"/>
      <c r="AE91" s="411"/>
      <c r="AF91" s="412"/>
      <c r="AG91" s="398"/>
      <c r="AH91" s="639"/>
      <c r="AI91" s="648"/>
      <c r="AJ91" s="413"/>
      <c r="AK91" s="629"/>
      <c r="AL91" s="398"/>
      <c r="AM91" s="658"/>
      <c r="AN91" s="847"/>
      <c r="AO91" s="330"/>
      <c r="AP91" s="330"/>
      <c r="AQ91" s="330"/>
      <c r="AR91" s="330"/>
      <c r="AS91" s="327"/>
      <c r="AT91" s="330"/>
      <c r="AU91" s="331"/>
      <c r="AV91" s="331"/>
      <c r="AW91" s="331"/>
      <c r="AX91" s="328"/>
    </row>
    <row r="92" spans="1:50" x14ac:dyDescent="0.2">
      <c r="A92" s="334"/>
      <c r="B92" s="340"/>
      <c r="C92" s="341"/>
      <c r="D92" s="338"/>
      <c r="E92" s="46"/>
      <c r="F92" s="46"/>
      <c r="G92" s="147"/>
      <c r="H92" s="147"/>
      <c r="I92" s="148"/>
      <c r="J92" s="147"/>
      <c r="K92" s="148"/>
      <c r="L92" s="147"/>
      <c r="M92" s="56"/>
      <c r="N92" s="148"/>
      <c r="O92" s="56"/>
      <c r="P92" s="279"/>
      <c r="Q92" s="160"/>
      <c r="R92" s="149"/>
      <c r="S92" s="149"/>
      <c r="T92" s="149"/>
      <c r="U92" s="150"/>
      <c r="V92" s="150"/>
      <c r="W92" s="150"/>
      <c r="X92" s="150"/>
      <c r="Y92" s="151"/>
      <c r="Z92" s="143"/>
      <c r="AA92" s="144"/>
      <c r="AB92" s="143"/>
      <c r="AC92" s="145"/>
      <c r="AD92" s="146"/>
      <c r="AE92" s="276"/>
      <c r="AF92" s="152"/>
      <c r="AG92" s="147"/>
      <c r="AH92" s="636"/>
      <c r="AI92" s="645"/>
      <c r="AJ92" s="269"/>
      <c r="AK92" s="626"/>
      <c r="AL92" s="147"/>
      <c r="AM92" s="655"/>
      <c r="AN92" s="835"/>
      <c r="AO92" s="155"/>
      <c r="AP92" s="155"/>
      <c r="AQ92" s="155"/>
      <c r="AR92" s="155"/>
      <c r="AS92" s="149"/>
      <c r="AT92" s="155"/>
      <c r="AU92" s="157"/>
      <c r="AV92" s="157"/>
      <c r="AW92" s="157"/>
      <c r="AX92" s="151"/>
    </row>
    <row r="93" spans="1:50" ht="12" thickBot="1" x14ac:dyDescent="0.25">
      <c r="A93" s="297"/>
      <c r="B93" s="343"/>
      <c r="C93" s="344"/>
      <c r="D93" s="161"/>
      <c r="E93" s="161"/>
      <c r="F93" s="161"/>
      <c r="G93" s="161"/>
      <c r="H93" s="161"/>
      <c r="I93" s="162"/>
      <c r="J93" s="161"/>
      <c r="K93" s="162"/>
      <c r="L93" s="161"/>
      <c r="M93" s="162"/>
      <c r="N93" s="162"/>
      <c r="O93" s="162"/>
      <c r="P93" s="280"/>
      <c r="Q93" s="163"/>
      <c r="R93" s="163"/>
      <c r="S93" s="163"/>
      <c r="T93" s="163"/>
      <c r="U93" s="164"/>
      <c r="V93" s="164"/>
      <c r="W93" s="164"/>
      <c r="X93" s="164"/>
      <c r="Y93" s="165"/>
      <c r="Z93" s="166"/>
      <c r="AA93" s="167"/>
      <c r="AB93" s="166"/>
      <c r="AC93" s="168"/>
      <c r="AD93" s="169"/>
      <c r="AE93" s="278"/>
      <c r="AF93" s="171"/>
      <c r="AG93" s="161"/>
      <c r="AH93" s="640"/>
      <c r="AI93" s="649"/>
      <c r="AJ93" s="270"/>
      <c r="AK93" s="632"/>
      <c r="AL93" s="161"/>
      <c r="AM93" s="659"/>
      <c r="AN93" s="848"/>
      <c r="AO93" s="163"/>
      <c r="AP93" s="163"/>
      <c r="AQ93" s="163"/>
      <c r="AR93" s="163"/>
      <c r="AS93" s="163"/>
      <c r="AT93" s="163"/>
      <c r="AU93" s="164"/>
      <c r="AV93" s="164"/>
      <c r="AW93" s="164"/>
      <c r="AX93"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84"/>
  <sheetViews>
    <sheetView zoomScaleNormal="100" workbookViewId="0">
      <pane xSplit="20" ySplit="6" topLeftCell="Y49" activePane="bottomRight" state="frozen"/>
      <selection pane="topRight" activeCell="U1" sqref="U1"/>
      <selection pane="bottomLeft" activeCell="A7" sqref="A7"/>
      <selection pane="bottomRight" activeCell="F61" sqref="F61"/>
    </sheetView>
  </sheetViews>
  <sheetFormatPr defaultRowHeight="11.25" x14ac:dyDescent="0.2"/>
  <cols>
    <col min="1" max="1" width="18.5" style="14" customWidth="1"/>
    <col min="2" max="2" width="2.75" style="36" customWidth="1"/>
    <col min="3" max="3" width="2.75" style="36" bestFit="1" customWidth="1"/>
    <col min="4" max="5" width="2.75" style="14" customWidth="1"/>
    <col min="6" max="6" width="2.75" style="14" bestFit="1" customWidth="1"/>
    <col min="7" max="7" width="2.625" style="14" bestFit="1" customWidth="1"/>
    <col min="8" max="8" width="2.75" style="14" bestFit="1" customWidth="1"/>
    <col min="9" max="15" width="2.75" style="14" customWidth="1"/>
    <col min="16" max="16" width="6.5" style="36" customWidth="1"/>
    <col min="17" max="17" width="32.125" style="14" hidden="1" customWidth="1"/>
    <col min="18" max="18" width="25.75" style="14" hidden="1" customWidth="1"/>
    <col min="19" max="19" width="5.5" style="14" customWidth="1"/>
    <col min="20" max="20" width="5.375" style="14" customWidth="1"/>
    <col min="21" max="25" width="3.75" style="14" customWidth="1"/>
    <col min="26" max="26" width="8.5" style="36" customWidth="1"/>
    <col min="27" max="27" width="8.625" style="36" customWidth="1"/>
    <col min="28" max="30" width="8.75" style="36" customWidth="1"/>
    <col min="31" max="31" width="5.375" style="14" customWidth="1"/>
    <col min="32" max="32" width="5.375" style="14" bestFit="1" customWidth="1"/>
    <col min="33" max="33" width="3.75" style="14" customWidth="1"/>
    <col min="34" max="36" width="7.125" style="3" customWidth="1"/>
    <col min="37" max="37" width="4.75" style="281" customWidth="1"/>
    <col min="38" max="38" width="3.5" style="14" customWidth="1"/>
    <col min="39" max="39" width="3.75" style="3" customWidth="1"/>
    <col min="40" max="49" width="10.5" style="14" customWidth="1"/>
    <col min="50" max="50" width="11.125" style="14" customWidth="1"/>
    <col min="51" max="250" width="9" style="14"/>
    <col min="251" max="251" width="9.75" style="14" bestFit="1" customWidth="1"/>
    <col min="252" max="253" width="2.75" style="14" bestFit="1" customWidth="1"/>
    <col min="254" max="255" width="2.75" style="14" customWidth="1"/>
    <col min="256" max="257" width="2.75" style="14" bestFit="1" customWidth="1"/>
    <col min="258" max="259" width="2.75" style="14" customWidth="1"/>
    <col min="260" max="260" width="2.75" style="14" bestFit="1" customWidth="1"/>
    <col min="261" max="262" width="9" style="14"/>
    <col min="263" max="264" width="8.625" style="14" customWidth="1"/>
    <col min="265" max="265" width="10.125" style="14" bestFit="1" customWidth="1"/>
    <col min="266" max="266" width="9" style="14"/>
    <col min="267" max="267" width="15" style="14" customWidth="1"/>
    <col min="268" max="270" width="9" style="14"/>
    <col min="271" max="273" width="9.375" style="14" customWidth="1"/>
    <col min="274" max="276" width="8.75" style="14" customWidth="1"/>
    <col min="277" max="277" width="9" style="14"/>
    <col min="278" max="278" width="12.75" style="14" customWidth="1"/>
    <col min="279" max="280" width="9" style="14"/>
    <col min="281" max="281" width="12.75" style="14" customWidth="1"/>
    <col min="282" max="283" width="9" style="14"/>
    <col min="284" max="284" width="9.375" style="14" customWidth="1"/>
    <col min="285" max="285" width="9.25" style="14" customWidth="1"/>
    <col min="286" max="287" width="12.75" style="14" customWidth="1"/>
    <col min="288" max="291" width="7.625" style="14" customWidth="1"/>
    <col min="292" max="293" width="12.75" style="14" customWidth="1"/>
    <col min="294" max="297" width="7.625" style="14" customWidth="1"/>
    <col min="298" max="299" width="12.75" style="14" customWidth="1"/>
    <col min="300" max="303" width="7.625" style="14" customWidth="1"/>
    <col min="304" max="506" width="9" style="14"/>
    <col min="507" max="507" width="9.75" style="14" bestFit="1" customWidth="1"/>
    <col min="508" max="509" width="2.75" style="14" bestFit="1" customWidth="1"/>
    <col min="510" max="511" width="2.75" style="14" customWidth="1"/>
    <col min="512" max="513" width="2.75" style="14" bestFit="1" customWidth="1"/>
    <col min="514" max="515" width="2.75" style="14" customWidth="1"/>
    <col min="516" max="516" width="2.75" style="14" bestFit="1" customWidth="1"/>
    <col min="517" max="518" width="9" style="14"/>
    <col min="519" max="520" width="8.625" style="14" customWidth="1"/>
    <col min="521" max="521" width="10.125" style="14" bestFit="1" customWidth="1"/>
    <col min="522" max="522" width="9" style="14"/>
    <col min="523" max="523" width="15" style="14" customWidth="1"/>
    <col min="524" max="526" width="9" style="14"/>
    <col min="527" max="529" width="9.375" style="14" customWidth="1"/>
    <col min="530" max="532" width="8.75" style="14" customWidth="1"/>
    <col min="533" max="533" width="9" style="14"/>
    <col min="534" max="534" width="12.75" style="14" customWidth="1"/>
    <col min="535" max="536" width="9" style="14"/>
    <col min="537" max="537" width="12.75" style="14" customWidth="1"/>
    <col min="538" max="539" width="9" style="14"/>
    <col min="540" max="540" width="9.375" style="14" customWidth="1"/>
    <col min="541" max="541" width="9.25" style="14" customWidth="1"/>
    <col min="542" max="543" width="12.75" style="14" customWidth="1"/>
    <col min="544" max="547" width="7.625" style="14" customWidth="1"/>
    <col min="548" max="549" width="12.75" style="14" customWidth="1"/>
    <col min="550" max="553" width="7.625" style="14" customWidth="1"/>
    <col min="554" max="555" width="12.75" style="14" customWidth="1"/>
    <col min="556" max="559" width="7.625" style="14" customWidth="1"/>
    <col min="560" max="762" width="9" style="14"/>
    <col min="763" max="763" width="9.75" style="14" bestFit="1" customWidth="1"/>
    <col min="764" max="765" width="2.75" style="14" bestFit="1" customWidth="1"/>
    <col min="766" max="767" width="2.75" style="14" customWidth="1"/>
    <col min="768" max="769" width="2.75" style="14" bestFit="1" customWidth="1"/>
    <col min="770" max="771" width="2.75" style="14" customWidth="1"/>
    <col min="772" max="772" width="2.75" style="14" bestFit="1" customWidth="1"/>
    <col min="773" max="774" width="9" style="14"/>
    <col min="775" max="776" width="8.625" style="14" customWidth="1"/>
    <col min="777" max="777" width="10.125" style="14" bestFit="1" customWidth="1"/>
    <col min="778" max="778" width="9" style="14"/>
    <col min="779" max="779" width="15" style="14" customWidth="1"/>
    <col min="780" max="782" width="9" style="14"/>
    <col min="783" max="785" width="9.375" style="14" customWidth="1"/>
    <col min="786" max="788" width="8.75" style="14" customWidth="1"/>
    <col min="789" max="789" width="9" style="14"/>
    <col min="790" max="790" width="12.75" style="14" customWidth="1"/>
    <col min="791" max="792" width="9" style="14"/>
    <col min="793" max="793" width="12.75" style="14" customWidth="1"/>
    <col min="794" max="795" width="9" style="14"/>
    <col min="796" max="796" width="9.375" style="14" customWidth="1"/>
    <col min="797" max="797" width="9.25" style="14" customWidth="1"/>
    <col min="798" max="799" width="12.75" style="14" customWidth="1"/>
    <col min="800" max="803" width="7.625" style="14" customWidth="1"/>
    <col min="804" max="805" width="12.75" style="14" customWidth="1"/>
    <col min="806" max="809" width="7.625" style="14" customWidth="1"/>
    <col min="810" max="811" width="12.75" style="14" customWidth="1"/>
    <col min="812" max="815" width="7.625" style="14" customWidth="1"/>
    <col min="816" max="1018" width="9" style="14"/>
    <col min="1019" max="1019" width="9.75" style="14" bestFit="1" customWidth="1"/>
    <col min="1020" max="1021" width="2.75" style="14" bestFit="1" customWidth="1"/>
    <col min="1022" max="1023" width="2.75" style="14" customWidth="1"/>
    <col min="1024" max="1025" width="2.75" style="14" bestFit="1" customWidth="1"/>
    <col min="1026" max="1027" width="2.75" style="14" customWidth="1"/>
    <col min="1028" max="1028" width="2.75" style="14" bestFit="1" customWidth="1"/>
    <col min="1029" max="1030" width="9" style="14"/>
    <col min="1031" max="1032" width="8.625" style="14" customWidth="1"/>
    <col min="1033" max="1033" width="10.125" style="14" bestFit="1" customWidth="1"/>
    <col min="1034" max="1034" width="9" style="14"/>
    <col min="1035" max="1035" width="15" style="14" customWidth="1"/>
    <col min="1036" max="1038" width="9" style="14"/>
    <col min="1039" max="1041" width="9.375" style="14" customWidth="1"/>
    <col min="1042" max="1044" width="8.75" style="14" customWidth="1"/>
    <col min="1045" max="1045" width="9" style="14"/>
    <col min="1046" max="1046" width="12.75" style="14" customWidth="1"/>
    <col min="1047" max="1048" width="9" style="14"/>
    <col min="1049" max="1049" width="12.75" style="14" customWidth="1"/>
    <col min="1050" max="1051" width="9" style="14"/>
    <col min="1052" max="1052" width="9.375" style="14" customWidth="1"/>
    <col min="1053" max="1053" width="9.25" style="14" customWidth="1"/>
    <col min="1054" max="1055" width="12.75" style="14" customWidth="1"/>
    <col min="1056" max="1059" width="7.625" style="14" customWidth="1"/>
    <col min="1060" max="1061" width="12.75" style="14" customWidth="1"/>
    <col min="1062" max="1065" width="7.625" style="14" customWidth="1"/>
    <col min="1066" max="1067" width="12.75" style="14" customWidth="1"/>
    <col min="1068" max="1071" width="7.625" style="14" customWidth="1"/>
    <col min="1072" max="1274" width="9" style="14"/>
    <col min="1275" max="1275" width="9.75" style="14" bestFit="1" customWidth="1"/>
    <col min="1276" max="1277" width="2.75" style="14" bestFit="1" customWidth="1"/>
    <col min="1278" max="1279" width="2.75" style="14" customWidth="1"/>
    <col min="1280" max="1281" width="2.75" style="14" bestFit="1" customWidth="1"/>
    <col min="1282" max="1283" width="2.75" style="14" customWidth="1"/>
    <col min="1284" max="1284" width="2.75" style="14" bestFit="1" customWidth="1"/>
    <col min="1285" max="1286" width="9" style="14"/>
    <col min="1287" max="1288" width="8.625" style="14" customWidth="1"/>
    <col min="1289" max="1289" width="10.125" style="14" bestFit="1" customWidth="1"/>
    <col min="1290" max="1290" width="9" style="14"/>
    <col min="1291" max="1291" width="15" style="14" customWidth="1"/>
    <col min="1292" max="1294" width="9" style="14"/>
    <col min="1295" max="1297" width="9.375" style="14" customWidth="1"/>
    <col min="1298" max="1300" width="8.75" style="14" customWidth="1"/>
    <col min="1301" max="1301" width="9" style="14"/>
    <col min="1302" max="1302" width="12.75" style="14" customWidth="1"/>
    <col min="1303" max="1304" width="9" style="14"/>
    <col min="1305" max="1305" width="12.75" style="14" customWidth="1"/>
    <col min="1306" max="1307" width="9" style="14"/>
    <col min="1308" max="1308" width="9.375" style="14" customWidth="1"/>
    <col min="1309" max="1309" width="9.25" style="14" customWidth="1"/>
    <col min="1310" max="1311" width="12.75" style="14" customWidth="1"/>
    <col min="1312" max="1315" width="7.625" style="14" customWidth="1"/>
    <col min="1316" max="1317" width="12.75" style="14" customWidth="1"/>
    <col min="1318" max="1321" width="7.625" style="14" customWidth="1"/>
    <col min="1322" max="1323" width="12.75" style="14" customWidth="1"/>
    <col min="1324" max="1327" width="7.625" style="14" customWidth="1"/>
    <col min="1328" max="1530" width="9" style="14"/>
    <col min="1531" max="1531" width="9.75" style="14" bestFit="1" customWidth="1"/>
    <col min="1532" max="1533" width="2.75" style="14" bestFit="1" customWidth="1"/>
    <col min="1534" max="1535" width="2.75" style="14" customWidth="1"/>
    <col min="1536" max="1537" width="2.75" style="14" bestFit="1" customWidth="1"/>
    <col min="1538" max="1539" width="2.75" style="14" customWidth="1"/>
    <col min="1540" max="1540" width="2.75" style="14" bestFit="1" customWidth="1"/>
    <col min="1541" max="1542" width="9" style="14"/>
    <col min="1543" max="1544" width="8.625" style="14" customWidth="1"/>
    <col min="1545" max="1545" width="10.125" style="14" bestFit="1" customWidth="1"/>
    <col min="1546" max="1546" width="9" style="14"/>
    <col min="1547" max="1547" width="15" style="14" customWidth="1"/>
    <col min="1548" max="1550" width="9" style="14"/>
    <col min="1551" max="1553" width="9.375" style="14" customWidth="1"/>
    <col min="1554" max="1556" width="8.75" style="14" customWidth="1"/>
    <col min="1557" max="1557" width="9" style="14"/>
    <col min="1558" max="1558" width="12.75" style="14" customWidth="1"/>
    <col min="1559" max="1560" width="9" style="14"/>
    <col min="1561" max="1561" width="12.75" style="14" customWidth="1"/>
    <col min="1562" max="1563" width="9" style="14"/>
    <col min="1564" max="1564" width="9.375" style="14" customWidth="1"/>
    <col min="1565" max="1565" width="9.25" style="14" customWidth="1"/>
    <col min="1566" max="1567" width="12.75" style="14" customWidth="1"/>
    <col min="1568" max="1571" width="7.625" style="14" customWidth="1"/>
    <col min="1572" max="1573" width="12.75" style="14" customWidth="1"/>
    <col min="1574" max="1577" width="7.625" style="14" customWidth="1"/>
    <col min="1578" max="1579" width="12.75" style="14" customWidth="1"/>
    <col min="1580" max="1583" width="7.625" style="14" customWidth="1"/>
    <col min="1584" max="1786" width="9" style="14"/>
    <col min="1787" max="1787" width="9.75" style="14" bestFit="1" customWidth="1"/>
    <col min="1788" max="1789" width="2.75" style="14" bestFit="1" customWidth="1"/>
    <col min="1790" max="1791" width="2.75" style="14" customWidth="1"/>
    <col min="1792" max="1793" width="2.75" style="14" bestFit="1" customWidth="1"/>
    <col min="1794" max="1795" width="2.75" style="14" customWidth="1"/>
    <col min="1796" max="1796" width="2.75" style="14" bestFit="1" customWidth="1"/>
    <col min="1797" max="1798" width="9" style="14"/>
    <col min="1799" max="1800" width="8.625" style="14" customWidth="1"/>
    <col min="1801" max="1801" width="10.125" style="14" bestFit="1" customWidth="1"/>
    <col min="1802" max="1802" width="9" style="14"/>
    <col min="1803" max="1803" width="15" style="14" customWidth="1"/>
    <col min="1804" max="1806" width="9" style="14"/>
    <col min="1807" max="1809" width="9.375" style="14" customWidth="1"/>
    <col min="1810" max="1812" width="8.75" style="14" customWidth="1"/>
    <col min="1813" max="1813" width="9" style="14"/>
    <col min="1814" max="1814" width="12.75" style="14" customWidth="1"/>
    <col min="1815" max="1816" width="9" style="14"/>
    <col min="1817" max="1817" width="12.75" style="14" customWidth="1"/>
    <col min="1818" max="1819" width="9" style="14"/>
    <col min="1820" max="1820" width="9.375" style="14" customWidth="1"/>
    <col min="1821" max="1821" width="9.25" style="14" customWidth="1"/>
    <col min="1822" max="1823" width="12.75" style="14" customWidth="1"/>
    <col min="1824" max="1827" width="7.625" style="14" customWidth="1"/>
    <col min="1828" max="1829" width="12.75" style="14" customWidth="1"/>
    <col min="1830" max="1833" width="7.625" style="14" customWidth="1"/>
    <col min="1834" max="1835" width="12.75" style="14" customWidth="1"/>
    <col min="1836" max="1839" width="7.625" style="14" customWidth="1"/>
    <col min="1840" max="2042" width="9" style="14"/>
    <col min="2043" max="2043" width="9.75" style="14" bestFit="1" customWidth="1"/>
    <col min="2044" max="2045" width="2.75" style="14" bestFit="1" customWidth="1"/>
    <col min="2046" max="2047" width="2.75" style="14" customWidth="1"/>
    <col min="2048" max="2049" width="2.75" style="14" bestFit="1" customWidth="1"/>
    <col min="2050" max="2051" width="2.75" style="14" customWidth="1"/>
    <col min="2052" max="2052" width="2.75" style="14" bestFit="1" customWidth="1"/>
    <col min="2053" max="2054" width="9" style="14"/>
    <col min="2055" max="2056" width="8.625" style="14" customWidth="1"/>
    <col min="2057" max="2057" width="10.125" style="14" bestFit="1" customWidth="1"/>
    <col min="2058" max="2058" width="9" style="14"/>
    <col min="2059" max="2059" width="15" style="14" customWidth="1"/>
    <col min="2060" max="2062" width="9" style="14"/>
    <col min="2063" max="2065" width="9.375" style="14" customWidth="1"/>
    <col min="2066" max="2068" width="8.75" style="14" customWidth="1"/>
    <col min="2069" max="2069" width="9" style="14"/>
    <col min="2070" max="2070" width="12.75" style="14" customWidth="1"/>
    <col min="2071" max="2072" width="9" style="14"/>
    <col min="2073" max="2073" width="12.75" style="14" customWidth="1"/>
    <col min="2074" max="2075" width="9" style="14"/>
    <col min="2076" max="2076" width="9.375" style="14" customWidth="1"/>
    <col min="2077" max="2077" width="9.25" style="14" customWidth="1"/>
    <col min="2078" max="2079" width="12.75" style="14" customWidth="1"/>
    <col min="2080" max="2083" width="7.625" style="14" customWidth="1"/>
    <col min="2084" max="2085" width="12.75" style="14" customWidth="1"/>
    <col min="2086" max="2089" width="7.625" style="14" customWidth="1"/>
    <col min="2090" max="2091" width="12.75" style="14" customWidth="1"/>
    <col min="2092" max="2095" width="7.625" style="14" customWidth="1"/>
    <col min="2096" max="2298" width="9" style="14"/>
    <col min="2299" max="2299" width="9.75" style="14" bestFit="1" customWidth="1"/>
    <col min="2300" max="2301" width="2.75" style="14" bestFit="1" customWidth="1"/>
    <col min="2302" max="2303" width="2.75" style="14" customWidth="1"/>
    <col min="2304" max="2305" width="2.75" style="14" bestFit="1" customWidth="1"/>
    <col min="2306" max="2307" width="2.75" style="14" customWidth="1"/>
    <col min="2308" max="2308" width="2.75" style="14" bestFit="1" customWidth="1"/>
    <col min="2309" max="2310" width="9" style="14"/>
    <col min="2311" max="2312" width="8.625" style="14" customWidth="1"/>
    <col min="2313" max="2313" width="10.125" style="14" bestFit="1" customWidth="1"/>
    <col min="2314" max="2314" width="9" style="14"/>
    <col min="2315" max="2315" width="15" style="14" customWidth="1"/>
    <col min="2316" max="2318" width="9" style="14"/>
    <col min="2319" max="2321" width="9.375" style="14" customWidth="1"/>
    <col min="2322" max="2324" width="8.75" style="14" customWidth="1"/>
    <col min="2325" max="2325" width="9" style="14"/>
    <col min="2326" max="2326" width="12.75" style="14" customWidth="1"/>
    <col min="2327" max="2328" width="9" style="14"/>
    <col min="2329" max="2329" width="12.75" style="14" customWidth="1"/>
    <col min="2330" max="2331" width="9" style="14"/>
    <col min="2332" max="2332" width="9.375" style="14" customWidth="1"/>
    <col min="2333" max="2333" width="9.25" style="14" customWidth="1"/>
    <col min="2334" max="2335" width="12.75" style="14" customWidth="1"/>
    <col min="2336" max="2339" width="7.625" style="14" customWidth="1"/>
    <col min="2340" max="2341" width="12.75" style="14" customWidth="1"/>
    <col min="2342" max="2345" width="7.625" style="14" customWidth="1"/>
    <col min="2346" max="2347" width="12.75" style="14" customWidth="1"/>
    <col min="2348" max="2351" width="7.625" style="14" customWidth="1"/>
    <col min="2352" max="2554" width="9" style="14"/>
    <col min="2555" max="2555" width="9.75" style="14" bestFit="1" customWidth="1"/>
    <col min="2556" max="2557" width="2.75" style="14" bestFit="1" customWidth="1"/>
    <col min="2558" max="2559" width="2.75" style="14" customWidth="1"/>
    <col min="2560" max="2561" width="2.75" style="14" bestFit="1" customWidth="1"/>
    <col min="2562" max="2563" width="2.75" style="14" customWidth="1"/>
    <col min="2564" max="2564" width="2.75" style="14" bestFit="1" customWidth="1"/>
    <col min="2565" max="2566" width="9" style="14"/>
    <col min="2567" max="2568" width="8.625" style="14" customWidth="1"/>
    <col min="2569" max="2569" width="10.125" style="14" bestFit="1" customWidth="1"/>
    <col min="2570" max="2570" width="9" style="14"/>
    <col min="2571" max="2571" width="15" style="14" customWidth="1"/>
    <col min="2572" max="2574" width="9" style="14"/>
    <col min="2575" max="2577" width="9.375" style="14" customWidth="1"/>
    <col min="2578" max="2580" width="8.75" style="14" customWidth="1"/>
    <col min="2581" max="2581" width="9" style="14"/>
    <col min="2582" max="2582" width="12.75" style="14" customWidth="1"/>
    <col min="2583" max="2584" width="9" style="14"/>
    <col min="2585" max="2585" width="12.75" style="14" customWidth="1"/>
    <col min="2586" max="2587" width="9" style="14"/>
    <col min="2588" max="2588" width="9.375" style="14" customWidth="1"/>
    <col min="2589" max="2589" width="9.25" style="14" customWidth="1"/>
    <col min="2590" max="2591" width="12.75" style="14" customWidth="1"/>
    <col min="2592" max="2595" width="7.625" style="14" customWidth="1"/>
    <col min="2596" max="2597" width="12.75" style="14" customWidth="1"/>
    <col min="2598" max="2601" width="7.625" style="14" customWidth="1"/>
    <col min="2602" max="2603" width="12.75" style="14" customWidth="1"/>
    <col min="2604" max="2607" width="7.625" style="14" customWidth="1"/>
    <col min="2608" max="2810" width="9" style="14"/>
    <col min="2811" max="2811" width="9.75" style="14" bestFit="1" customWidth="1"/>
    <col min="2812" max="2813" width="2.75" style="14" bestFit="1" customWidth="1"/>
    <col min="2814" max="2815" width="2.75" style="14" customWidth="1"/>
    <col min="2816" max="2817" width="2.75" style="14" bestFit="1" customWidth="1"/>
    <col min="2818" max="2819" width="2.75" style="14" customWidth="1"/>
    <col min="2820" max="2820" width="2.75" style="14" bestFit="1" customWidth="1"/>
    <col min="2821" max="2822" width="9" style="14"/>
    <col min="2823" max="2824" width="8.625" style="14" customWidth="1"/>
    <col min="2825" max="2825" width="10.125" style="14" bestFit="1" customWidth="1"/>
    <col min="2826" max="2826" width="9" style="14"/>
    <col min="2827" max="2827" width="15" style="14" customWidth="1"/>
    <col min="2828" max="2830" width="9" style="14"/>
    <col min="2831" max="2833" width="9.375" style="14" customWidth="1"/>
    <col min="2834" max="2836" width="8.75" style="14" customWidth="1"/>
    <col min="2837" max="2837" width="9" style="14"/>
    <col min="2838" max="2838" width="12.75" style="14" customWidth="1"/>
    <col min="2839" max="2840" width="9" style="14"/>
    <col min="2841" max="2841" width="12.75" style="14" customWidth="1"/>
    <col min="2842" max="2843" width="9" style="14"/>
    <col min="2844" max="2844" width="9.375" style="14" customWidth="1"/>
    <col min="2845" max="2845" width="9.25" style="14" customWidth="1"/>
    <col min="2846" max="2847" width="12.75" style="14" customWidth="1"/>
    <col min="2848" max="2851" width="7.625" style="14" customWidth="1"/>
    <col min="2852" max="2853" width="12.75" style="14" customWidth="1"/>
    <col min="2854" max="2857" width="7.625" style="14" customWidth="1"/>
    <col min="2858" max="2859" width="12.75" style="14" customWidth="1"/>
    <col min="2860" max="2863" width="7.625" style="14" customWidth="1"/>
    <col min="2864" max="3066" width="9" style="14"/>
    <col min="3067" max="3067" width="9.75" style="14" bestFit="1" customWidth="1"/>
    <col min="3068" max="3069" width="2.75" style="14" bestFit="1" customWidth="1"/>
    <col min="3070" max="3071" width="2.75" style="14" customWidth="1"/>
    <col min="3072" max="3073" width="2.75" style="14" bestFit="1" customWidth="1"/>
    <col min="3074" max="3075" width="2.75" style="14" customWidth="1"/>
    <col min="3076" max="3076" width="2.75" style="14" bestFit="1" customWidth="1"/>
    <col min="3077" max="3078" width="9" style="14"/>
    <col min="3079" max="3080" width="8.625" style="14" customWidth="1"/>
    <col min="3081" max="3081" width="10.125" style="14" bestFit="1" customWidth="1"/>
    <col min="3082" max="3082" width="9" style="14"/>
    <col min="3083" max="3083" width="15" style="14" customWidth="1"/>
    <col min="3084" max="3086" width="9" style="14"/>
    <col min="3087" max="3089" width="9.375" style="14" customWidth="1"/>
    <col min="3090" max="3092" width="8.75" style="14" customWidth="1"/>
    <col min="3093" max="3093" width="9" style="14"/>
    <col min="3094" max="3094" width="12.75" style="14" customWidth="1"/>
    <col min="3095" max="3096" width="9" style="14"/>
    <col min="3097" max="3097" width="12.75" style="14" customWidth="1"/>
    <col min="3098" max="3099" width="9" style="14"/>
    <col min="3100" max="3100" width="9.375" style="14" customWidth="1"/>
    <col min="3101" max="3101" width="9.25" style="14" customWidth="1"/>
    <col min="3102" max="3103" width="12.75" style="14" customWidth="1"/>
    <col min="3104" max="3107" width="7.625" style="14" customWidth="1"/>
    <col min="3108" max="3109" width="12.75" style="14" customWidth="1"/>
    <col min="3110" max="3113" width="7.625" style="14" customWidth="1"/>
    <col min="3114" max="3115" width="12.75" style="14" customWidth="1"/>
    <col min="3116" max="3119" width="7.625" style="14" customWidth="1"/>
    <col min="3120" max="3322" width="9" style="14"/>
    <col min="3323" max="3323" width="9.75" style="14" bestFit="1" customWidth="1"/>
    <col min="3324" max="3325" width="2.75" style="14" bestFit="1" customWidth="1"/>
    <col min="3326" max="3327" width="2.75" style="14" customWidth="1"/>
    <col min="3328" max="3329" width="2.75" style="14" bestFit="1" customWidth="1"/>
    <col min="3330" max="3331" width="2.75" style="14" customWidth="1"/>
    <col min="3332" max="3332" width="2.75" style="14" bestFit="1" customWidth="1"/>
    <col min="3333" max="3334" width="9" style="14"/>
    <col min="3335" max="3336" width="8.625" style="14" customWidth="1"/>
    <col min="3337" max="3337" width="10.125" style="14" bestFit="1" customWidth="1"/>
    <col min="3338" max="3338" width="9" style="14"/>
    <col min="3339" max="3339" width="15" style="14" customWidth="1"/>
    <col min="3340" max="3342" width="9" style="14"/>
    <col min="3343" max="3345" width="9.375" style="14" customWidth="1"/>
    <col min="3346" max="3348" width="8.75" style="14" customWidth="1"/>
    <col min="3349" max="3349" width="9" style="14"/>
    <col min="3350" max="3350" width="12.75" style="14" customWidth="1"/>
    <col min="3351" max="3352" width="9" style="14"/>
    <col min="3353" max="3353" width="12.75" style="14" customWidth="1"/>
    <col min="3354" max="3355" width="9" style="14"/>
    <col min="3356" max="3356" width="9.375" style="14" customWidth="1"/>
    <col min="3357" max="3357" width="9.25" style="14" customWidth="1"/>
    <col min="3358" max="3359" width="12.75" style="14" customWidth="1"/>
    <col min="3360" max="3363" width="7.625" style="14" customWidth="1"/>
    <col min="3364" max="3365" width="12.75" style="14" customWidth="1"/>
    <col min="3366" max="3369" width="7.625" style="14" customWidth="1"/>
    <col min="3370" max="3371" width="12.75" style="14" customWidth="1"/>
    <col min="3372" max="3375" width="7.625" style="14" customWidth="1"/>
    <col min="3376" max="3578" width="9" style="14"/>
    <col min="3579" max="3579" width="9.75" style="14" bestFit="1" customWidth="1"/>
    <col min="3580" max="3581" width="2.75" style="14" bestFit="1" customWidth="1"/>
    <col min="3582" max="3583" width="2.75" style="14" customWidth="1"/>
    <col min="3584" max="3585" width="2.75" style="14" bestFit="1" customWidth="1"/>
    <col min="3586" max="3587" width="2.75" style="14" customWidth="1"/>
    <col min="3588" max="3588" width="2.75" style="14" bestFit="1" customWidth="1"/>
    <col min="3589" max="3590" width="9" style="14"/>
    <col min="3591" max="3592" width="8.625" style="14" customWidth="1"/>
    <col min="3593" max="3593" width="10.125" style="14" bestFit="1" customWidth="1"/>
    <col min="3594" max="3594" width="9" style="14"/>
    <col min="3595" max="3595" width="15" style="14" customWidth="1"/>
    <col min="3596" max="3598" width="9" style="14"/>
    <col min="3599" max="3601" width="9.375" style="14" customWidth="1"/>
    <col min="3602" max="3604" width="8.75" style="14" customWidth="1"/>
    <col min="3605" max="3605" width="9" style="14"/>
    <col min="3606" max="3606" width="12.75" style="14" customWidth="1"/>
    <col min="3607" max="3608" width="9" style="14"/>
    <col min="3609" max="3609" width="12.75" style="14" customWidth="1"/>
    <col min="3610" max="3611" width="9" style="14"/>
    <col min="3612" max="3612" width="9.375" style="14" customWidth="1"/>
    <col min="3613" max="3613" width="9.25" style="14" customWidth="1"/>
    <col min="3614" max="3615" width="12.75" style="14" customWidth="1"/>
    <col min="3616" max="3619" width="7.625" style="14" customWidth="1"/>
    <col min="3620" max="3621" width="12.75" style="14" customWidth="1"/>
    <col min="3622" max="3625" width="7.625" style="14" customWidth="1"/>
    <col min="3626" max="3627" width="12.75" style="14" customWidth="1"/>
    <col min="3628" max="3631" width="7.625" style="14" customWidth="1"/>
    <col min="3632" max="3834" width="9" style="14"/>
    <col min="3835" max="3835" width="9.75" style="14" bestFit="1" customWidth="1"/>
    <col min="3836" max="3837" width="2.75" style="14" bestFit="1" customWidth="1"/>
    <col min="3838" max="3839" width="2.75" style="14" customWidth="1"/>
    <col min="3840" max="3841" width="2.75" style="14" bestFit="1" customWidth="1"/>
    <col min="3842" max="3843" width="2.75" style="14" customWidth="1"/>
    <col min="3844" max="3844" width="2.75" style="14" bestFit="1" customWidth="1"/>
    <col min="3845" max="3846" width="9" style="14"/>
    <col min="3847" max="3848" width="8.625" style="14" customWidth="1"/>
    <col min="3849" max="3849" width="10.125" style="14" bestFit="1" customWidth="1"/>
    <col min="3850" max="3850" width="9" style="14"/>
    <col min="3851" max="3851" width="15" style="14" customWidth="1"/>
    <col min="3852" max="3854" width="9" style="14"/>
    <col min="3855" max="3857" width="9.375" style="14" customWidth="1"/>
    <col min="3858" max="3860" width="8.75" style="14" customWidth="1"/>
    <col min="3861" max="3861" width="9" style="14"/>
    <col min="3862" max="3862" width="12.75" style="14" customWidth="1"/>
    <col min="3863" max="3864" width="9" style="14"/>
    <col min="3865" max="3865" width="12.75" style="14" customWidth="1"/>
    <col min="3866" max="3867" width="9" style="14"/>
    <col min="3868" max="3868" width="9.375" style="14" customWidth="1"/>
    <col min="3869" max="3869" width="9.25" style="14" customWidth="1"/>
    <col min="3870" max="3871" width="12.75" style="14" customWidth="1"/>
    <col min="3872" max="3875" width="7.625" style="14" customWidth="1"/>
    <col min="3876" max="3877" width="12.75" style="14" customWidth="1"/>
    <col min="3878" max="3881" width="7.625" style="14" customWidth="1"/>
    <col min="3882" max="3883" width="12.75" style="14" customWidth="1"/>
    <col min="3884" max="3887" width="7.625" style="14" customWidth="1"/>
    <col min="3888" max="4090" width="9" style="14"/>
    <col min="4091" max="4091" width="9.75" style="14" bestFit="1" customWidth="1"/>
    <col min="4092" max="4093" width="2.75" style="14" bestFit="1" customWidth="1"/>
    <col min="4094" max="4095" width="2.75" style="14" customWidth="1"/>
    <col min="4096" max="4097" width="2.75" style="14" bestFit="1" customWidth="1"/>
    <col min="4098" max="4099" width="2.75" style="14" customWidth="1"/>
    <col min="4100" max="4100" width="2.75" style="14" bestFit="1" customWidth="1"/>
    <col min="4101" max="4102" width="9" style="14"/>
    <col min="4103" max="4104" width="8.625" style="14" customWidth="1"/>
    <col min="4105" max="4105" width="10.125" style="14" bestFit="1" customWidth="1"/>
    <col min="4106" max="4106" width="9" style="14"/>
    <col min="4107" max="4107" width="15" style="14" customWidth="1"/>
    <col min="4108" max="4110" width="9" style="14"/>
    <col min="4111" max="4113" width="9.375" style="14" customWidth="1"/>
    <col min="4114" max="4116" width="8.75" style="14" customWidth="1"/>
    <col min="4117" max="4117" width="9" style="14"/>
    <col min="4118" max="4118" width="12.75" style="14" customWidth="1"/>
    <col min="4119" max="4120" width="9" style="14"/>
    <col min="4121" max="4121" width="12.75" style="14" customWidth="1"/>
    <col min="4122" max="4123" width="9" style="14"/>
    <col min="4124" max="4124" width="9.375" style="14" customWidth="1"/>
    <col min="4125" max="4125" width="9.25" style="14" customWidth="1"/>
    <col min="4126" max="4127" width="12.75" style="14" customWidth="1"/>
    <col min="4128" max="4131" width="7.625" style="14" customWidth="1"/>
    <col min="4132" max="4133" width="12.75" style="14" customWidth="1"/>
    <col min="4134" max="4137" width="7.625" style="14" customWidth="1"/>
    <col min="4138" max="4139" width="12.75" style="14" customWidth="1"/>
    <col min="4140" max="4143" width="7.625" style="14" customWidth="1"/>
    <col min="4144" max="4346" width="9" style="14"/>
    <col min="4347" max="4347" width="9.75" style="14" bestFit="1" customWidth="1"/>
    <col min="4348" max="4349" width="2.75" style="14" bestFit="1" customWidth="1"/>
    <col min="4350" max="4351" width="2.75" style="14" customWidth="1"/>
    <col min="4352" max="4353" width="2.75" style="14" bestFit="1" customWidth="1"/>
    <col min="4354" max="4355" width="2.75" style="14" customWidth="1"/>
    <col min="4356" max="4356" width="2.75" style="14" bestFit="1" customWidth="1"/>
    <col min="4357" max="4358" width="9" style="14"/>
    <col min="4359" max="4360" width="8.625" style="14" customWidth="1"/>
    <col min="4361" max="4361" width="10.125" style="14" bestFit="1" customWidth="1"/>
    <col min="4362" max="4362" width="9" style="14"/>
    <col min="4363" max="4363" width="15" style="14" customWidth="1"/>
    <col min="4364" max="4366" width="9" style="14"/>
    <col min="4367" max="4369" width="9.375" style="14" customWidth="1"/>
    <col min="4370" max="4372" width="8.75" style="14" customWidth="1"/>
    <col min="4373" max="4373" width="9" style="14"/>
    <col min="4374" max="4374" width="12.75" style="14" customWidth="1"/>
    <col min="4375" max="4376" width="9" style="14"/>
    <col min="4377" max="4377" width="12.75" style="14" customWidth="1"/>
    <col min="4378" max="4379" width="9" style="14"/>
    <col min="4380" max="4380" width="9.375" style="14" customWidth="1"/>
    <col min="4381" max="4381" width="9.25" style="14" customWidth="1"/>
    <col min="4382" max="4383" width="12.75" style="14" customWidth="1"/>
    <col min="4384" max="4387" width="7.625" style="14" customWidth="1"/>
    <col min="4388" max="4389" width="12.75" style="14" customWidth="1"/>
    <col min="4390" max="4393" width="7.625" style="14" customWidth="1"/>
    <col min="4394" max="4395" width="12.75" style="14" customWidth="1"/>
    <col min="4396" max="4399" width="7.625" style="14" customWidth="1"/>
    <col min="4400" max="4602" width="9" style="14"/>
    <col min="4603" max="4603" width="9.75" style="14" bestFit="1" customWidth="1"/>
    <col min="4604" max="4605" width="2.75" style="14" bestFit="1" customWidth="1"/>
    <col min="4606" max="4607" width="2.75" style="14" customWidth="1"/>
    <col min="4608" max="4609" width="2.75" style="14" bestFit="1" customWidth="1"/>
    <col min="4610" max="4611" width="2.75" style="14" customWidth="1"/>
    <col min="4612" max="4612" width="2.75" style="14" bestFit="1" customWidth="1"/>
    <col min="4613" max="4614" width="9" style="14"/>
    <col min="4615" max="4616" width="8.625" style="14" customWidth="1"/>
    <col min="4617" max="4617" width="10.125" style="14" bestFit="1" customWidth="1"/>
    <col min="4618" max="4618" width="9" style="14"/>
    <col min="4619" max="4619" width="15" style="14" customWidth="1"/>
    <col min="4620" max="4622" width="9" style="14"/>
    <col min="4623" max="4625" width="9.375" style="14" customWidth="1"/>
    <col min="4626" max="4628" width="8.75" style="14" customWidth="1"/>
    <col min="4629" max="4629" width="9" style="14"/>
    <col min="4630" max="4630" width="12.75" style="14" customWidth="1"/>
    <col min="4631" max="4632" width="9" style="14"/>
    <col min="4633" max="4633" width="12.75" style="14" customWidth="1"/>
    <col min="4634" max="4635" width="9" style="14"/>
    <col min="4636" max="4636" width="9.375" style="14" customWidth="1"/>
    <col min="4637" max="4637" width="9.25" style="14" customWidth="1"/>
    <col min="4638" max="4639" width="12.75" style="14" customWidth="1"/>
    <col min="4640" max="4643" width="7.625" style="14" customWidth="1"/>
    <col min="4644" max="4645" width="12.75" style="14" customWidth="1"/>
    <col min="4646" max="4649" width="7.625" style="14" customWidth="1"/>
    <col min="4650" max="4651" width="12.75" style="14" customWidth="1"/>
    <col min="4652" max="4655" width="7.625" style="14" customWidth="1"/>
    <col min="4656" max="4858" width="9" style="14"/>
    <col min="4859" max="4859" width="9.75" style="14" bestFit="1" customWidth="1"/>
    <col min="4860" max="4861" width="2.75" style="14" bestFit="1" customWidth="1"/>
    <col min="4862" max="4863" width="2.75" style="14" customWidth="1"/>
    <col min="4864" max="4865" width="2.75" style="14" bestFit="1" customWidth="1"/>
    <col min="4866" max="4867" width="2.75" style="14" customWidth="1"/>
    <col min="4868" max="4868" width="2.75" style="14" bestFit="1" customWidth="1"/>
    <col min="4869" max="4870" width="9" style="14"/>
    <col min="4871" max="4872" width="8.625" style="14" customWidth="1"/>
    <col min="4873" max="4873" width="10.125" style="14" bestFit="1" customWidth="1"/>
    <col min="4874" max="4874" width="9" style="14"/>
    <col min="4875" max="4875" width="15" style="14" customWidth="1"/>
    <col min="4876" max="4878" width="9" style="14"/>
    <col min="4879" max="4881" width="9.375" style="14" customWidth="1"/>
    <col min="4882" max="4884" width="8.75" style="14" customWidth="1"/>
    <col min="4885" max="4885" width="9" style="14"/>
    <col min="4886" max="4886" width="12.75" style="14" customWidth="1"/>
    <col min="4887" max="4888" width="9" style="14"/>
    <col min="4889" max="4889" width="12.75" style="14" customWidth="1"/>
    <col min="4890" max="4891" width="9" style="14"/>
    <col min="4892" max="4892" width="9.375" style="14" customWidth="1"/>
    <col min="4893" max="4893" width="9.25" style="14" customWidth="1"/>
    <col min="4894" max="4895" width="12.75" style="14" customWidth="1"/>
    <col min="4896" max="4899" width="7.625" style="14" customWidth="1"/>
    <col min="4900" max="4901" width="12.75" style="14" customWidth="1"/>
    <col min="4902" max="4905" width="7.625" style="14" customWidth="1"/>
    <col min="4906" max="4907" width="12.75" style="14" customWidth="1"/>
    <col min="4908" max="4911" width="7.625" style="14" customWidth="1"/>
    <col min="4912" max="5114" width="9" style="14"/>
    <col min="5115" max="5115" width="9.75" style="14" bestFit="1" customWidth="1"/>
    <col min="5116" max="5117" width="2.75" style="14" bestFit="1" customWidth="1"/>
    <col min="5118" max="5119" width="2.75" style="14" customWidth="1"/>
    <col min="5120" max="5121" width="2.75" style="14" bestFit="1" customWidth="1"/>
    <col min="5122" max="5123" width="2.75" style="14" customWidth="1"/>
    <col min="5124" max="5124" width="2.75" style="14" bestFit="1" customWidth="1"/>
    <col min="5125" max="5126" width="9" style="14"/>
    <col min="5127" max="5128" width="8.625" style="14" customWidth="1"/>
    <col min="5129" max="5129" width="10.125" style="14" bestFit="1" customWidth="1"/>
    <col min="5130" max="5130" width="9" style="14"/>
    <col min="5131" max="5131" width="15" style="14" customWidth="1"/>
    <col min="5132" max="5134" width="9" style="14"/>
    <col min="5135" max="5137" width="9.375" style="14" customWidth="1"/>
    <col min="5138" max="5140" width="8.75" style="14" customWidth="1"/>
    <col min="5141" max="5141" width="9" style="14"/>
    <col min="5142" max="5142" width="12.75" style="14" customWidth="1"/>
    <col min="5143" max="5144" width="9" style="14"/>
    <col min="5145" max="5145" width="12.75" style="14" customWidth="1"/>
    <col min="5146" max="5147" width="9" style="14"/>
    <col min="5148" max="5148" width="9.375" style="14" customWidth="1"/>
    <col min="5149" max="5149" width="9.25" style="14" customWidth="1"/>
    <col min="5150" max="5151" width="12.75" style="14" customWidth="1"/>
    <col min="5152" max="5155" width="7.625" style="14" customWidth="1"/>
    <col min="5156" max="5157" width="12.75" style="14" customWidth="1"/>
    <col min="5158" max="5161" width="7.625" style="14" customWidth="1"/>
    <col min="5162" max="5163" width="12.75" style="14" customWidth="1"/>
    <col min="5164" max="5167" width="7.625" style="14" customWidth="1"/>
    <col min="5168" max="5370" width="9" style="14"/>
    <col min="5371" max="5371" width="9.75" style="14" bestFit="1" customWidth="1"/>
    <col min="5372" max="5373" width="2.75" style="14" bestFit="1" customWidth="1"/>
    <col min="5374" max="5375" width="2.75" style="14" customWidth="1"/>
    <col min="5376" max="5377" width="2.75" style="14" bestFit="1" customWidth="1"/>
    <col min="5378" max="5379" width="2.75" style="14" customWidth="1"/>
    <col min="5380" max="5380" width="2.75" style="14" bestFit="1" customWidth="1"/>
    <col min="5381" max="5382" width="9" style="14"/>
    <col min="5383" max="5384" width="8.625" style="14" customWidth="1"/>
    <col min="5385" max="5385" width="10.125" style="14" bestFit="1" customWidth="1"/>
    <col min="5386" max="5386" width="9" style="14"/>
    <col min="5387" max="5387" width="15" style="14" customWidth="1"/>
    <col min="5388" max="5390" width="9" style="14"/>
    <col min="5391" max="5393" width="9.375" style="14" customWidth="1"/>
    <col min="5394" max="5396" width="8.75" style="14" customWidth="1"/>
    <col min="5397" max="5397" width="9" style="14"/>
    <col min="5398" max="5398" width="12.75" style="14" customWidth="1"/>
    <col min="5399" max="5400" width="9" style="14"/>
    <col min="5401" max="5401" width="12.75" style="14" customWidth="1"/>
    <col min="5402" max="5403" width="9" style="14"/>
    <col min="5404" max="5404" width="9.375" style="14" customWidth="1"/>
    <col min="5405" max="5405" width="9.25" style="14" customWidth="1"/>
    <col min="5406" max="5407" width="12.75" style="14" customWidth="1"/>
    <col min="5408" max="5411" width="7.625" style="14" customWidth="1"/>
    <col min="5412" max="5413" width="12.75" style="14" customWidth="1"/>
    <col min="5414" max="5417" width="7.625" style="14" customWidth="1"/>
    <col min="5418" max="5419" width="12.75" style="14" customWidth="1"/>
    <col min="5420" max="5423" width="7.625" style="14" customWidth="1"/>
    <col min="5424" max="5626" width="9" style="14"/>
    <col min="5627" max="5627" width="9.75" style="14" bestFit="1" customWidth="1"/>
    <col min="5628" max="5629" width="2.75" style="14" bestFit="1" customWidth="1"/>
    <col min="5630" max="5631" width="2.75" style="14" customWidth="1"/>
    <col min="5632" max="5633" width="2.75" style="14" bestFit="1" customWidth="1"/>
    <col min="5634" max="5635" width="2.75" style="14" customWidth="1"/>
    <col min="5636" max="5636" width="2.75" style="14" bestFit="1" customWidth="1"/>
    <col min="5637" max="5638" width="9" style="14"/>
    <col min="5639" max="5640" width="8.625" style="14" customWidth="1"/>
    <col min="5641" max="5641" width="10.125" style="14" bestFit="1" customWidth="1"/>
    <col min="5642" max="5642" width="9" style="14"/>
    <col min="5643" max="5643" width="15" style="14" customWidth="1"/>
    <col min="5644" max="5646" width="9" style="14"/>
    <col min="5647" max="5649" width="9.375" style="14" customWidth="1"/>
    <col min="5650" max="5652" width="8.75" style="14" customWidth="1"/>
    <col min="5653" max="5653" width="9" style="14"/>
    <col min="5654" max="5654" width="12.75" style="14" customWidth="1"/>
    <col min="5655" max="5656" width="9" style="14"/>
    <col min="5657" max="5657" width="12.75" style="14" customWidth="1"/>
    <col min="5658" max="5659" width="9" style="14"/>
    <col min="5660" max="5660" width="9.375" style="14" customWidth="1"/>
    <col min="5661" max="5661" width="9.25" style="14" customWidth="1"/>
    <col min="5662" max="5663" width="12.75" style="14" customWidth="1"/>
    <col min="5664" max="5667" width="7.625" style="14" customWidth="1"/>
    <col min="5668" max="5669" width="12.75" style="14" customWidth="1"/>
    <col min="5670" max="5673" width="7.625" style="14" customWidth="1"/>
    <col min="5674" max="5675" width="12.75" style="14" customWidth="1"/>
    <col min="5676" max="5679" width="7.625" style="14" customWidth="1"/>
    <col min="5680" max="5882" width="9" style="14"/>
    <col min="5883" max="5883" width="9.75" style="14" bestFit="1" customWidth="1"/>
    <col min="5884" max="5885" width="2.75" style="14" bestFit="1" customWidth="1"/>
    <col min="5886" max="5887" width="2.75" style="14" customWidth="1"/>
    <col min="5888" max="5889" width="2.75" style="14" bestFit="1" customWidth="1"/>
    <col min="5890" max="5891" width="2.75" style="14" customWidth="1"/>
    <col min="5892" max="5892" width="2.75" style="14" bestFit="1" customWidth="1"/>
    <col min="5893" max="5894" width="9" style="14"/>
    <col min="5895" max="5896" width="8.625" style="14" customWidth="1"/>
    <col min="5897" max="5897" width="10.125" style="14" bestFit="1" customWidth="1"/>
    <col min="5898" max="5898" width="9" style="14"/>
    <col min="5899" max="5899" width="15" style="14" customWidth="1"/>
    <col min="5900" max="5902" width="9" style="14"/>
    <col min="5903" max="5905" width="9.375" style="14" customWidth="1"/>
    <col min="5906" max="5908" width="8.75" style="14" customWidth="1"/>
    <col min="5909" max="5909" width="9" style="14"/>
    <col min="5910" max="5910" width="12.75" style="14" customWidth="1"/>
    <col min="5911" max="5912" width="9" style="14"/>
    <col min="5913" max="5913" width="12.75" style="14" customWidth="1"/>
    <col min="5914" max="5915" width="9" style="14"/>
    <col min="5916" max="5916" width="9.375" style="14" customWidth="1"/>
    <col min="5917" max="5917" width="9.25" style="14" customWidth="1"/>
    <col min="5918" max="5919" width="12.75" style="14" customWidth="1"/>
    <col min="5920" max="5923" width="7.625" style="14" customWidth="1"/>
    <col min="5924" max="5925" width="12.75" style="14" customWidth="1"/>
    <col min="5926" max="5929" width="7.625" style="14" customWidth="1"/>
    <col min="5930" max="5931" width="12.75" style="14" customWidth="1"/>
    <col min="5932" max="5935" width="7.625" style="14" customWidth="1"/>
    <col min="5936" max="6138" width="9" style="14"/>
    <col min="6139" max="6139" width="9.75" style="14" bestFit="1" customWidth="1"/>
    <col min="6140" max="6141" width="2.75" style="14" bestFit="1" customWidth="1"/>
    <col min="6142" max="6143" width="2.75" style="14" customWidth="1"/>
    <col min="6144" max="6145" width="2.75" style="14" bestFit="1" customWidth="1"/>
    <col min="6146" max="6147" width="2.75" style="14" customWidth="1"/>
    <col min="6148" max="6148" width="2.75" style="14" bestFit="1" customWidth="1"/>
    <col min="6149" max="6150" width="9" style="14"/>
    <col min="6151" max="6152" width="8.625" style="14" customWidth="1"/>
    <col min="6153" max="6153" width="10.125" style="14" bestFit="1" customWidth="1"/>
    <col min="6154" max="6154" width="9" style="14"/>
    <col min="6155" max="6155" width="15" style="14" customWidth="1"/>
    <col min="6156" max="6158" width="9" style="14"/>
    <col min="6159" max="6161" width="9.375" style="14" customWidth="1"/>
    <col min="6162" max="6164" width="8.75" style="14" customWidth="1"/>
    <col min="6165" max="6165" width="9" style="14"/>
    <col min="6166" max="6166" width="12.75" style="14" customWidth="1"/>
    <col min="6167" max="6168" width="9" style="14"/>
    <col min="6169" max="6169" width="12.75" style="14" customWidth="1"/>
    <col min="6170" max="6171" width="9" style="14"/>
    <col min="6172" max="6172" width="9.375" style="14" customWidth="1"/>
    <col min="6173" max="6173" width="9.25" style="14" customWidth="1"/>
    <col min="6174" max="6175" width="12.75" style="14" customWidth="1"/>
    <col min="6176" max="6179" width="7.625" style="14" customWidth="1"/>
    <col min="6180" max="6181" width="12.75" style="14" customWidth="1"/>
    <col min="6182" max="6185" width="7.625" style="14" customWidth="1"/>
    <col min="6186" max="6187" width="12.75" style="14" customWidth="1"/>
    <col min="6188" max="6191" width="7.625" style="14" customWidth="1"/>
    <col min="6192" max="6394" width="9" style="14"/>
    <col min="6395" max="6395" width="9.75" style="14" bestFit="1" customWidth="1"/>
    <col min="6396" max="6397" width="2.75" style="14" bestFit="1" customWidth="1"/>
    <col min="6398" max="6399" width="2.75" style="14" customWidth="1"/>
    <col min="6400" max="6401" width="2.75" style="14" bestFit="1" customWidth="1"/>
    <col min="6402" max="6403" width="2.75" style="14" customWidth="1"/>
    <col min="6404" max="6404" width="2.75" style="14" bestFit="1" customWidth="1"/>
    <col min="6405" max="6406" width="9" style="14"/>
    <col min="6407" max="6408" width="8.625" style="14" customWidth="1"/>
    <col min="6409" max="6409" width="10.125" style="14" bestFit="1" customWidth="1"/>
    <col min="6410" max="6410" width="9" style="14"/>
    <col min="6411" max="6411" width="15" style="14" customWidth="1"/>
    <col min="6412" max="6414" width="9" style="14"/>
    <col min="6415" max="6417" width="9.375" style="14" customWidth="1"/>
    <col min="6418" max="6420" width="8.75" style="14" customWidth="1"/>
    <col min="6421" max="6421" width="9" style="14"/>
    <col min="6422" max="6422" width="12.75" style="14" customWidth="1"/>
    <col min="6423" max="6424" width="9" style="14"/>
    <col min="6425" max="6425" width="12.75" style="14" customWidth="1"/>
    <col min="6426" max="6427" width="9" style="14"/>
    <col min="6428" max="6428" width="9.375" style="14" customWidth="1"/>
    <col min="6429" max="6429" width="9.25" style="14" customWidth="1"/>
    <col min="6430" max="6431" width="12.75" style="14" customWidth="1"/>
    <col min="6432" max="6435" width="7.625" style="14" customWidth="1"/>
    <col min="6436" max="6437" width="12.75" style="14" customWidth="1"/>
    <col min="6438" max="6441" width="7.625" style="14" customWidth="1"/>
    <col min="6442" max="6443" width="12.75" style="14" customWidth="1"/>
    <col min="6444" max="6447" width="7.625" style="14" customWidth="1"/>
    <col min="6448" max="6650" width="9" style="14"/>
    <col min="6651" max="6651" width="9.75" style="14" bestFit="1" customWidth="1"/>
    <col min="6652" max="6653" width="2.75" style="14" bestFit="1" customWidth="1"/>
    <col min="6654" max="6655" width="2.75" style="14" customWidth="1"/>
    <col min="6656" max="6657" width="2.75" style="14" bestFit="1" customWidth="1"/>
    <col min="6658" max="6659" width="2.75" style="14" customWidth="1"/>
    <col min="6660" max="6660" width="2.75" style="14" bestFit="1" customWidth="1"/>
    <col min="6661" max="6662" width="9" style="14"/>
    <col min="6663" max="6664" width="8.625" style="14" customWidth="1"/>
    <col min="6665" max="6665" width="10.125" style="14" bestFit="1" customWidth="1"/>
    <col min="6666" max="6666" width="9" style="14"/>
    <col min="6667" max="6667" width="15" style="14" customWidth="1"/>
    <col min="6668" max="6670" width="9" style="14"/>
    <col min="6671" max="6673" width="9.375" style="14" customWidth="1"/>
    <col min="6674" max="6676" width="8.75" style="14" customWidth="1"/>
    <col min="6677" max="6677" width="9" style="14"/>
    <col min="6678" max="6678" width="12.75" style="14" customWidth="1"/>
    <col min="6679" max="6680" width="9" style="14"/>
    <col min="6681" max="6681" width="12.75" style="14" customWidth="1"/>
    <col min="6682" max="6683" width="9" style="14"/>
    <col min="6684" max="6684" width="9.375" style="14" customWidth="1"/>
    <col min="6685" max="6685" width="9.25" style="14" customWidth="1"/>
    <col min="6686" max="6687" width="12.75" style="14" customWidth="1"/>
    <col min="6688" max="6691" width="7.625" style="14" customWidth="1"/>
    <col min="6692" max="6693" width="12.75" style="14" customWidth="1"/>
    <col min="6694" max="6697" width="7.625" style="14" customWidth="1"/>
    <col min="6698" max="6699" width="12.75" style="14" customWidth="1"/>
    <col min="6700" max="6703" width="7.625" style="14" customWidth="1"/>
    <col min="6704" max="6906" width="9" style="14"/>
    <col min="6907" max="6907" width="9.75" style="14" bestFit="1" customWidth="1"/>
    <col min="6908" max="6909" width="2.75" style="14" bestFit="1" customWidth="1"/>
    <col min="6910" max="6911" width="2.75" style="14" customWidth="1"/>
    <col min="6912" max="6913" width="2.75" style="14" bestFit="1" customWidth="1"/>
    <col min="6914" max="6915" width="2.75" style="14" customWidth="1"/>
    <col min="6916" max="6916" width="2.75" style="14" bestFit="1" customWidth="1"/>
    <col min="6917" max="6918" width="9" style="14"/>
    <col min="6919" max="6920" width="8.625" style="14" customWidth="1"/>
    <col min="6921" max="6921" width="10.125" style="14" bestFit="1" customWidth="1"/>
    <col min="6922" max="6922" width="9" style="14"/>
    <col min="6923" max="6923" width="15" style="14" customWidth="1"/>
    <col min="6924" max="6926" width="9" style="14"/>
    <col min="6927" max="6929" width="9.375" style="14" customWidth="1"/>
    <col min="6930" max="6932" width="8.75" style="14" customWidth="1"/>
    <col min="6933" max="6933" width="9" style="14"/>
    <col min="6934" max="6934" width="12.75" style="14" customWidth="1"/>
    <col min="6935" max="6936" width="9" style="14"/>
    <col min="6937" max="6937" width="12.75" style="14" customWidth="1"/>
    <col min="6938" max="6939" width="9" style="14"/>
    <col min="6940" max="6940" width="9.375" style="14" customWidth="1"/>
    <col min="6941" max="6941" width="9.25" style="14" customWidth="1"/>
    <col min="6942" max="6943" width="12.75" style="14" customWidth="1"/>
    <col min="6944" max="6947" width="7.625" style="14" customWidth="1"/>
    <col min="6948" max="6949" width="12.75" style="14" customWidth="1"/>
    <col min="6950" max="6953" width="7.625" style="14" customWidth="1"/>
    <col min="6954" max="6955" width="12.75" style="14" customWidth="1"/>
    <col min="6956" max="6959" width="7.625" style="14" customWidth="1"/>
    <col min="6960" max="7162" width="9" style="14"/>
    <col min="7163" max="7163" width="9.75" style="14" bestFit="1" customWidth="1"/>
    <col min="7164" max="7165" width="2.75" style="14" bestFit="1" customWidth="1"/>
    <col min="7166" max="7167" width="2.75" style="14" customWidth="1"/>
    <col min="7168" max="7169" width="2.75" style="14" bestFit="1" customWidth="1"/>
    <col min="7170" max="7171" width="2.75" style="14" customWidth="1"/>
    <col min="7172" max="7172" width="2.75" style="14" bestFit="1" customWidth="1"/>
    <col min="7173" max="7174" width="9" style="14"/>
    <col min="7175" max="7176" width="8.625" style="14" customWidth="1"/>
    <col min="7177" max="7177" width="10.125" style="14" bestFit="1" customWidth="1"/>
    <col min="7178" max="7178" width="9" style="14"/>
    <col min="7179" max="7179" width="15" style="14" customWidth="1"/>
    <col min="7180" max="7182" width="9" style="14"/>
    <col min="7183" max="7185" width="9.375" style="14" customWidth="1"/>
    <col min="7186" max="7188" width="8.75" style="14" customWidth="1"/>
    <col min="7189" max="7189" width="9" style="14"/>
    <col min="7190" max="7190" width="12.75" style="14" customWidth="1"/>
    <col min="7191" max="7192" width="9" style="14"/>
    <col min="7193" max="7193" width="12.75" style="14" customWidth="1"/>
    <col min="7194" max="7195" width="9" style="14"/>
    <col min="7196" max="7196" width="9.375" style="14" customWidth="1"/>
    <col min="7197" max="7197" width="9.25" style="14" customWidth="1"/>
    <col min="7198" max="7199" width="12.75" style="14" customWidth="1"/>
    <col min="7200" max="7203" width="7.625" style="14" customWidth="1"/>
    <col min="7204" max="7205" width="12.75" style="14" customWidth="1"/>
    <col min="7206" max="7209" width="7.625" style="14" customWidth="1"/>
    <col min="7210" max="7211" width="12.75" style="14" customWidth="1"/>
    <col min="7212" max="7215" width="7.625" style="14" customWidth="1"/>
    <col min="7216" max="7418" width="9" style="14"/>
    <col min="7419" max="7419" width="9.75" style="14" bestFit="1" customWidth="1"/>
    <col min="7420" max="7421" width="2.75" style="14" bestFit="1" customWidth="1"/>
    <col min="7422" max="7423" width="2.75" style="14" customWidth="1"/>
    <col min="7424" max="7425" width="2.75" style="14" bestFit="1" customWidth="1"/>
    <col min="7426" max="7427" width="2.75" style="14" customWidth="1"/>
    <col min="7428" max="7428" width="2.75" style="14" bestFit="1" customWidth="1"/>
    <col min="7429" max="7430" width="9" style="14"/>
    <col min="7431" max="7432" width="8.625" style="14" customWidth="1"/>
    <col min="7433" max="7433" width="10.125" style="14" bestFit="1" customWidth="1"/>
    <col min="7434" max="7434" width="9" style="14"/>
    <col min="7435" max="7435" width="15" style="14" customWidth="1"/>
    <col min="7436" max="7438" width="9" style="14"/>
    <col min="7439" max="7441" width="9.375" style="14" customWidth="1"/>
    <col min="7442" max="7444" width="8.75" style="14" customWidth="1"/>
    <col min="7445" max="7445" width="9" style="14"/>
    <col min="7446" max="7446" width="12.75" style="14" customWidth="1"/>
    <col min="7447" max="7448" width="9" style="14"/>
    <col min="7449" max="7449" width="12.75" style="14" customWidth="1"/>
    <col min="7450" max="7451" width="9" style="14"/>
    <col min="7452" max="7452" width="9.375" style="14" customWidth="1"/>
    <col min="7453" max="7453" width="9.25" style="14" customWidth="1"/>
    <col min="7454" max="7455" width="12.75" style="14" customWidth="1"/>
    <col min="7456" max="7459" width="7.625" style="14" customWidth="1"/>
    <col min="7460" max="7461" width="12.75" style="14" customWidth="1"/>
    <col min="7462" max="7465" width="7.625" style="14" customWidth="1"/>
    <col min="7466" max="7467" width="12.75" style="14" customWidth="1"/>
    <col min="7468" max="7471" width="7.625" style="14" customWidth="1"/>
    <col min="7472" max="7674" width="9" style="14"/>
    <col min="7675" max="7675" width="9.75" style="14" bestFit="1" customWidth="1"/>
    <col min="7676" max="7677" width="2.75" style="14" bestFit="1" customWidth="1"/>
    <col min="7678" max="7679" width="2.75" style="14" customWidth="1"/>
    <col min="7680" max="7681" width="2.75" style="14" bestFit="1" customWidth="1"/>
    <col min="7682" max="7683" width="2.75" style="14" customWidth="1"/>
    <col min="7684" max="7684" width="2.75" style="14" bestFit="1" customWidth="1"/>
    <col min="7685" max="7686" width="9" style="14"/>
    <col min="7687" max="7688" width="8.625" style="14" customWidth="1"/>
    <col min="7689" max="7689" width="10.125" style="14" bestFit="1" customWidth="1"/>
    <col min="7690" max="7690" width="9" style="14"/>
    <col min="7691" max="7691" width="15" style="14" customWidth="1"/>
    <col min="7692" max="7694" width="9" style="14"/>
    <col min="7695" max="7697" width="9.375" style="14" customWidth="1"/>
    <col min="7698" max="7700" width="8.75" style="14" customWidth="1"/>
    <col min="7701" max="7701" width="9" style="14"/>
    <col min="7702" max="7702" width="12.75" style="14" customWidth="1"/>
    <col min="7703" max="7704" width="9" style="14"/>
    <col min="7705" max="7705" width="12.75" style="14" customWidth="1"/>
    <col min="7706" max="7707" width="9" style="14"/>
    <col min="7708" max="7708" width="9.375" style="14" customWidth="1"/>
    <col min="7709" max="7709" width="9.25" style="14" customWidth="1"/>
    <col min="7710" max="7711" width="12.75" style="14" customWidth="1"/>
    <col min="7712" max="7715" width="7.625" style="14" customWidth="1"/>
    <col min="7716" max="7717" width="12.75" style="14" customWidth="1"/>
    <col min="7718" max="7721" width="7.625" style="14" customWidth="1"/>
    <col min="7722" max="7723" width="12.75" style="14" customWidth="1"/>
    <col min="7724" max="7727" width="7.625" style="14" customWidth="1"/>
    <col min="7728" max="7930" width="9" style="14"/>
    <col min="7931" max="7931" width="9.75" style="14" bestFit="1" customWidth="1"/>
    <col min="7932" max="7933" width="2.75" style="14" bestFit="1" customWidth="1"/>
    <col min="7934" max="7935" width="2.75" style="14" customWidth="1"/>
    <col min="7936" max="7937" width="2.75" style="14" bestFit="1" customWidth="1"/>
    <col min="7938" max="7939" width="2.75" style="14" customWidth="1"/>
    <col min="7940" max="7940" width="2.75" style="14" bestFit="1" customWidth="1"/>
    <col min="7941" max="7942" width="9" style="14"/>
    <col min="7943" max="7944" width="8.625" style="14" customWidth="1"/>
    <col min="7945" max="7945" width="10.125" style="14" bestFit="1" customWidth="1"/>
    <col min="7946" max="7946" width="9" style="14"/>
    <col min="7947" max="7947" width="15" style="14" customWidth="1"/>
    <col min="7948" max="7950" width="9" style="14"/>
    <col min="7951" max="7953" width="9.375" style="14" customWidth="1"/>
    <col min="7954" max="7956" width="8.75" style="14" customWidth="1"/>
    <col min="7957" max="7957" width="9" style="14"/>
    <col min="7958" max="7958" width="12.75" style="14" customWidth="1"/>
    <col min="7959" max="7960" width="9" style="14"/>
    <col min="7961" max="7961" width="12.75" style="14" customWidth="1"/>
    <col min="7962" max="7963" width="9" style="14"/>
    <col min="7964" max="7964" width="9.375" style="14" customWidth="1"/>
    <col min="7965" max="7965" width="9.25" style="14" customWidth="1"/>
    <col min="7966" max="7967" width="12.75" style="14" customWidth="1"/>
    <col min="7968" max="7971" width="7.625" style="14" customWidth="1"/>
    <col min="7972" max="7973" width="12.75" style="14" customWidth="1"/>
    <col min="7974" max="7977" width="7.625" style="14" customWidth="1"/>
    <col min="7978" max="7979" width="12.75" style="14" customWidth="1"/>
    <col min="7980" max="7983" width="7.625" style="14" customWidth="1"/>
    <col min="7984" max="8186" width="9" style="14"/>
    <col min="8187" max="8187" width="9.75" style="14" bestFit="1" customWidth="1"/>
    <col min="8188" max="8189" width="2.75" style="14" bestFit="1" customWidth="1"/>
    <col min="8190" max="8191" width="2.75" style="14" customWidth="1"/>
    <col min="8192" max="8193" width="2.75" style="14" bestFit="1" customWidth="1"/>
    <col min="8194" max="8195" width="2.75" style="14" customWidth="1"/>
    <col min="8196" max="8196" width="2.75" style="14" bestFit="1" customWidth="1"/>
    <col min="8197" max="8198" width="9" style="14"/>
    <col min="8199" max="8200" width="8.625" style="14" customWidth="1"/>
    <col min="8201" max="8201" width="10.125" style="14" bestFit="1" customWidth="1"/>
    <col min="8202" max="8202" width="9" style="14"/>
    <col min="8203" max="8203" width="15" style="14" customWidth="1"/>
    <col min="8204" max="8206" width="9" style="14"/>
    <col min="8207" max="8209" width="9.375" style="14" customWidth="1"/>
    <col min="8210" max="8212" width="8.75" style="14" customWidth="1"/>
    <col min="8213" max="8213" width="9" style="14"/>
    <col min="8214" max="8214" width="12.75" style="14" customWidth="1"/>
    <col min="8215" max="8216" width="9" style="14"/>
    <col min="8217" max="8217" width="12.75" style="14" customWidth="1"/>
    <col min="8218" max="8219" width="9" style="14"/>
    <col min="8220" max="8220" width="9.375" style="14" customWidth="1"/>
    <col min="8221" max="8221" width="9.25" style="14" customWidth="1"/>
    <col min="8222" max="8223" width="12.75" style="14" customWidth="1"/>
    <col min="8224" max="8227" width="7.625" style="14" customWidth="1"/>
    <col min="8228" max="8229" width="12.75" style="14" customWidth="1"/>
    <col min="8230" max="8233" width="7.625" style="14" customWidth="1"/>
    <col min="8234" max="8235" width="12.75" style="14" customWidth="1"/>
    <col min="8236" max="8239" width="7.625" style="14" customWidth="1"/>
    <col min="8240" max="8442" width="9" style="14"/>
    <col min="8443" max="8443" width="9.75" style="14" bestFit="1" customWidth="1"/>
    <col min="8444" max="8445" width="2.75" style="14" bestFit="1" customWidth="1"/>
    <col min="8446" max="8447" width="2.75" style="14" customWidth="1"/>
    <col min="8448" max="8449" width="2.75" style="14" bestFit="1" customWidth="1"/>
    <col min="8450" max="8451" width="2.75" style="14" customWidth="1"/>
    <col min="8452" max="8452" width="2.75" style="14" bestFit="1" customWidth="1"/>
    <col min="8453" max="8454" width="9" style="14"/>
    <col min="8455" max="8456" width="8.625" style="14" customWidth="1"/>
    <col min="8457" max="8457" width="10.125" style="14" bestFit="1" customWidth="1"/>
    <col min="8458" max="8458" width="9" style="14"/>
    <col min="8459" max="8459" width="15" style="14" customWidth="1"/>
    <col min="8460" max="8462" width="9" style="14"/>
    <col min="8463" max="8465" width="9.375" style="14" customWidth="1"/>
    <col min="8466" max="8468" width="8.75" style="14" customWidth="1"/>
    <col min="8469" max="8469" width="9" style="14"/>
    <col min="8470" max="8470" width="12.75" style="14" customWidth="1"/>
    <col min="8471" max="8472" width="9" style="14"/>
    <col min="8473" max="8473" width="12.75" style="14" customWidth="1"/>
    <col min="8474" max="8475" width="9" style="14"/>
    <col min="8476" max="8476" width="9.375" style="14" customWidth="1"/>
    <col min="8477" max="8477" width="9.25" style="14" customWidth="1"/>
    <col min="8478" max="8479" width="12.75" style="14" customWidth="1"/>
    <col min="8480" max="8483" width="7.625" style="14" customWidth="1"/>
    <col min="8484" max="8485" width="12.75" style="14" customWidth="1"/>
    <col min="8486" max="8489" width="7.625" style="14" customWidth="1"/>
    <col min="8490" max="8491" width="12.75" style="14" customWidth="1"/>
    <col min="8492" max="8495" width="7.625" style="14" customWidth="1"/>
    <col min="8496" max="8698" width="9" style="14"/>
    <col min="8699" max="8699" width="9.75" style="14" bestFit="1" customWidth="1"/>
    <col min="8700" max="8701" width="2.75" style="14" bestFit="1" customWidth="1"/>
    <col min="8702" max="8703" width="2.75" style="14" customWidth="1"/>
    <col min="8704" max="8705" width="2.75" style="14" bestFit="1" customWidth="1"/>
    <col min="8706" max="8707" width="2.75" style="14" customWidth="1"/>
    <col min="8708" max="8708" width="2.75" style="14" bestFit="1" customWidth="1"/>
    <col min="8709" max="8710" width="9" style="14"/>
    <col min="8711" max="8712" width="8.625" style="14" customWidth="1"/>
    <col min="8713" max="8713" width="10.125" style="14" bestFit="1" customWidth="1"/>
    <col min="8714" max="8714" width="9" style="14"/>
    <col min="8715" max="8715" width="15" style="14" customWidth="1"/>
    <col min="8716" max="8718" width="9" style="14"/>
    <col min="8719" max="8721" width="9.375" style="14" customWidth="1"/>
    <col min="8722" max="8724" width="8.75" style="14" customWidth="1"/>
    <col min="8725" max="8725" width="9" style="14"/>
    <col min="8726" max="8726" width="12.75" style="14" customWidth="1"/>
    <col min="8727" max="8728" width="9" style="14"/>
    <col min="8729" max="8729" width="12.75" style="14" customWidth="1"/>
    <col min="8730" max="8731" width="9" style="14"/>
    <col min="8732" max="8732" width="9.375" style="14" customWidth="1"/>
    <col min="8733" max="8733" width="9.25" style="14" customWidth="1"/>
    <col min="8734" max="8735" width="12.75" style="14" customWidth="1"/>
    <col min="8736" max="8739" width="7.625" style="14" customWidth="1"/>
    <col min="8740" max="8741" width="12.75" style="14" customWidth="1"/>
    <col min="8742" max="8745" width="7.625" style="14" customWidth="1"/>
    <col min="8746" max="8747" width="12.75" style="14" customWidth="1"/>
    <col min="8748" max="8751" width="7.625" style="14" customWidth="1"/>
    <col min="8752" max="8954" width="9" style="14"/>
    <col min="8955" max="8955" width="9.75" style="14" bestFit="1" customWidth="1"/>
    <col min="8956" max="8957" width="2.75" style="14" bestFit="1" customWidth="1"/>
    <col min="8958" max="8959" width="2.75" style="14" customWidth="1"/>
    <col min="8960" max="8961" width="2.75" style="14" bestFit="1" customWidth="1"/>
    <col min="8962" max="8963" width="2.75" style="14" customWidth="1"/>
    <col min="8964" max="8964" width="2.75" style="14" bestFit="1" customWidth="1"/>
    <col min="8965" max="8966" width="9" style="14"/>
    <col min="8967" max="8968" width="8.625" style="14" customWidth="1"/>
    <col min="8969" max="8969" width="10.125" style="14" bestFit="1" customWidth="1"/>
    <col min="8970" max="8970" width="9" style="14"/>
    <col min="8971" max="8971" width="15" style="14" customWidth="1"/>
    <col min="8972" max="8974" width="9" style="14"/>
    <col min="8975" max="8977" width="9.375" style="14" customWidth="1"/>
    <col min="8978" max="8980" width="8.75" style="14" customWidth="1"/>
    <col min="8981" max="8981" width="9" style="14"/>
    <col min="8982" max="8982" width="12.75" style="14" customWidth="1"/>
    <col min="8983" max="8984" width="9" style="14"/>
    <col min="8985" max="8985" width="12.75" style="14" customWidth="1"/>
    <col min="8986" max="8987" width="9" style="14"/>
    <col min="8988" max="8988" width="9.375" style="14" customWidth="1"/>
    <col min="8989" max="8989" width="9.25" style="14" customWidth="1"/>
    <col min="8990" max="8991" width="12.75" style="14" customWidth="1"/>
    <col min="8992" max="8995" width="7.625" style="14" customWidth="1"/>
    <col min="8996" max="8997" width="12.75" style="14" customWidth="1"/>
    <col min="8998" max="9001" width="7.625" style="14" customWidth="1"/>
    <col min="9002" max="9003" width="12.75" style="14" customWidth="1"/>
    <col min="9004" max="9007" width="7.625" style="14" customWidth="1"/>
    <col min="9008" max="9210" width="9" style="14"/>
    <col min="9211" max="9211" width="9.75" style="14" bestFit="1" customWidth="1"/>
    <col min="9212" max="9213" width="2.75" style="14" bestFit="1" customWidth="1"/>
    <col min="9214" max="9215" width="2.75" style="14" customWidth="1"/>
    <col min="9216" max="9217" width="2.75" style="14" bestFit="1" customWidth="1"/>
    <col min="9218" max="9219" width="2.75" style="14" customWidth="1"/>
    <col min="9220" max="9220" width="2.75" style="14" bestFit="1" customWidth="1"/>
    <col min="9221" max="9222" width="9" style="14"/>
    <col min="9223" max="9224" width="8.625" style="14" customWidth="1"/>
    <col min="9225" max="9225" width="10.125" style="14" bestFit="1" customWidth="1"/>
    <col min="9226" max="9226" width="9" style="14"/>
    <col min="9227" max="9227" width="15" style="14" customWidth="1"/>
    <col min="9228" max="9230" width="9" style="14"/>
    <col min="9231" max="9233" width="9.375" style="14" customWidth="1"/>
    <col min="9234" max="9236" width="8.75" style="14" customWidth="1"/>
    <col min="9237" max="9237" width="9" style="14"/>
    <col min="9238" max="9238" width="12.75" style="14" customWidth="1"/>
    <col min="9239" max="9240" width="9" style="14"/>
    <col min="9241" max="9241" width="12.75" style="14" customWidth="1"/>
    <col min="9242" max="9243" width="9" style="14"/>
    <col min="9244" max="9244" width="9.375" style="14" customWidth="1"/>
    <col min="9245" max="9245" width="9.25" style="14" customWidth="1"/>
    <col min="9246" max="9247" width="12.75" style="14" customWidth="1"/>
    <col min="9248" max="9251" width="7.625" style="14" customWidth="1"/>
    <col min="9252" max="9253" width="12.75" style="14" customWidth="1"/>
    <col min="9254" max="9257" width="7.625" style="14" customWidth="1"/>
    <col min="9258" max="9259" width="12.75" style="14" customWidth="1"/>
    <col min="9260" max="9263" width="7.625" style="14" customWidth="1"/>
    <col min="9264" max="9466" width="9" style="14"/>
    <col min="9467" max="9467" width="9.75" style="14" bestFit="1" customWidth="1"/>
    <col min="9468" max="9469" width="2.75" style="14" bestFit="1" customWidth="1"/>
    <col min="9470" max="9471" width="2.75" style="14" customWidth="1"/>
    <col min="9472" max="9473" width="2.75" style="14" bestFit="1" customWidth="1"/>
    <col min="9474" max="9475" width="2.75" style="14" customWidth="1"/>
    <col min="9476" max="9476" width="2.75" style="14" bestFit="1" customWidth="1"/>
    <col min="9477" max="9478" width="9" style="14"/>
    <col min="9479" max="9480" width="8.625" style="14" customWidth="1"/>
    <col min="9481" max="9481" width="10.125" style="14" bestFit="1" customWidth="1"/>
    <col min="9482" max="9482" width="9" style="14"/>
    <col min="9483" max="9483" width="15" style="14" customWidth="1"/>
    <col min="9484" max="9486" width="9" style="14"/>
    <col min="9487" max="9489" width="9.375" style="14" customWidth="1"/>
    <col min="9490" max="9492" width="8.75" style="14" customWidth="1"/>
    <col min="9493" max="9493" width="9" style="14"/>
    <col min="9494" max="9494" width="12.75" style="14" customWidth="1"/>
    <col min="9495" max="9496" width="9" style="14"/>
    <col min="9497" max="9497" width="12.75" style="14" customWidth="1"/>
    <col min="9498" max="9499" width="9" style="14"/>
    <col min="9500" max="9500" width="9.375" style="14" customWidth="1"/>
    <col min="9501" max="9501" width="9.25" style="14" customWidth="1"/>
    <col min="9502" max="9503" width="12.75" style="14" customWidth="1"/>
    <col min="9504" max="9507" width="7.625" style="14" customWidth="1"/>
    <col min="9508" max="9509" width="12.75" style="14" customWidth="1"/>
    <col min="9510" max="9513" width="7.625" style="14" customWidth="1"/>
    <col min="9514" max="9515" width="12.75" style="14" customWidth="1"/>
    <col min="9516" max="9519" width="7.625" style="14" customWidth="1"/>
    <col min="9520" max="9722" width="9" style="14"/>
    <col min="9723" max="9723" width="9.75" style="14" bestFit="1" customWidth="1"/>
    <col min="9724" max="9725" width="2.75" style="14" bestFit="1" customWidth="1"/>
    <col min="9726" max="9727" width="2.75" style="14" customWidth="1"/>
    <col min="9728" max="9729" width="2.75" style="14" bestFit="1" customWidth="1"/>
    <col min="9730" max="9731" width="2.75" style="14" customWidth="1"/>
    <col min="9732" max="9732" width="2.75" style="14" bestFit="1" customWidth="1"/>
    <col min="9733" max="9734" width="9" style="14"/>
    <col min="9735" max="9736" width="8.625" style="14" customWidth="1"/>
    <col min="9737" max="9737" width="10.125" style="14" bestFit="1" customWidth="1"/>
    <col min="9738" max="9738" width="9" style="14"/>
    <col min="9739" max="9739" width="15" style="14" customWidth="1"/>
    <col min="9740" max="9742" width="9" style="14"/>
    <col min="9743" max="9745" width="9.375" style="14" customWidth="1"/>
    <col min="9746" max="9748" width="8.75" style="14" customWidth="1"/>
    <col min="9749" max="9749" width="9" style="14"/>
    <col min="9750" max="9750" width="12.75" style="14" customWidth="1"/>
    <col min="9751" max="9752" width="9" style="14"/>
    <col min="9753" max="9753" width="12.75" style="14" customWidth="1"/>
    <col min="9754" max="9755" width="9" style="14"/>
    <col min="9756" max="9756" width="9.375" style="14" customWidth="1"/>
    <col min="9757" max="9757" width="9.25" style="14" customWidth="1"/>
    <col min="9758" max="9759" width="12.75" style="14" customWidth="1"/>
    <col min="9760" max="9763" width="7.625" style="14" customWidth="1"/>
    <col min="9764" max="9765" width="12.75" style="14" customWidth="1"/>
    <col min="9766" max="9769" width="7.625" style="14" customWidth="1"/>
    <col min="9770" max="9771" width="12.75" style="14" customWidth="1"/>
    <col min="9772" max="9775" width="7.625" style="14" customWidth="1"/>
    <col min="9776" max="9978" width="9" style="14"/>
    <col min="9979" max="9979" width="9.75" style="14" bestFit="1" customWidth="1"/>
    <col min="9980" max="9981" width="2.75" style="14" bestFit="1" customWidth="1"/>
    <col min="9982" max="9983" width="2.75" style="14" customWidth="1"/>
    <col min="9984" max="9985" width="2.75" style="14" bestFit="1" customWidth="1"/>
    <col min="9986" max="9987" width="2.75" style="14" customWidth="1"/>
    <col min="9988" max="9988" width="2.75" style="14" bestFit="1" customWidth="1"/>
    <col min="9989" max="9990" width="9" style="14"/>
    <col min="9991" max="9992" width="8.625" style="14" customWidth="1"/>
    <col min="9993" max="9993" width="10.125" style="14" bestFit="1" customWidth="1"/>
    <col min="9994" max="9994" width="9" style="14"/>
    <col min="9995" max="9995" width="15" style="14" customWidth="1"/>
    <col min="9996" max="9998" width="9" style="14"/>
    <col min="9999" max="10001" width="9.375" style="14" customWidth="1"/>
    <col min="10002" max="10004" width="8.75" style="14" customWidth="1"/>
    <col min="10005" max="10005" width="9" style="14"/>
    <col min="10006" max="10006" width="12.75" style="14" customWidth="1"/>
    <col min="10007" max="10008" width="9" style="14"/>
    <col min="10009" max="10009" width="12.75" style="14" customWidth="1"/>
    <col min="10010" max="10011" width="9" style="14"/>
    <col min="10012" max="10012" width="9.375" style="14" customWidth="1"/>
    <col min="10013" max="10013" width="9.25" style="14" customWidth="1"/>
    <col min="10014" max="10015" width="12.75" style="14" customWidth="1"/>
    <col min="10016" max="10019" width="7.625" style="14" customWidth="1"/>
    <col min="10020" max="10021" width="12.75" style="14" customWidth="1"/>
    <col min="10022" max="10025" width="7.625" style="14" customWidth="1"/>
    <col min="10026" max="10027" width="12.75" style="14" customWidth="1"/>
    <col min="10028" max="10031" width="7.625" style="14" customWidth="1"/>
    <col min="10032" max="10234" width="9" style="14"/>
    <col min="10235" max="10235" width="9.75" style="14" bestFit="1" customWidth="1"/>
    <col min="10236" max="10237" width="2.75" style="14" bestFit="1" customWidth="1"/>
    <col min="10238" max="10239" width="2.75" style="14" customWidth="1"/>
    <col min="10240" max="10241" width="2.75" style="14" bestFit="1" customWidth="1"/>
    <col min="10242" max="10243" width="2.75" style="14" customWidth="1"/>
    <col min="10244" max="10244" width="2.75" style="14" bestFit="1" customWidth="1"/>
    <col min="10245" max="10246" width="9" style="14"/>
    <col min="10247" max="10248" width="8.625" style="14" customWidth="1"/>
    <col min="10249" max="10249" width="10.125" style="14" bestFit="1" customWidth="1"/>
    <col min="10250" max="10250" width="9" style="14"/>
    <col min="10251" max="10251" width="15" style="14" customWidth="1"/>
    <col min="10252" max="10254" width="9" style="14"/>
    <col min="10255" max="10257" width="9.375" style="14" customWidth="1"/>
    <col min="10258" max="10260" width="8.75" style="14" customWidth="1"/>
    <col min="10261" max="10261" width="9" style="14"/>
    <col min="10262" max="10262" width="12.75" style="14" customWidth="1"/>
    <col min="10263" max="10264" width="9" style="14"/>
    <col min="10265" max="10265" width="12.75" style="14" customWidth="1"/>
    <col min="10266" max="10267" width="9" style="14"/>
    <col min="10268" max="10268" width="9.375" style="14" customWidth="1"/>
    <col min="10269" max="10269" width="9.25" style="14" customWidth="1"/>
    <col min="10270" max="10271" width="12.75" style="14" customWidth="1"/>
    <col min="10272" max="10275" width="7.625" style="14" customWidth="1"/>
    <col min="10276" max="10277" width="12.75" style="14" customWidth="1"/>
    <col min="10278" max="10281" width="7.625" style="14" customWidth="1"/>
    <col min="10282" max="10283" width="12.75" style="14" customWidth="1"/>
    <col min="10284" max="10287" width="7.625" style="14" customWidth="1"/>
    <col min="10288" max="10490" width="9" style="14"/>
    <col min="10491" max="10491" width="9.75" style="14" bestFit="1" customWidth="1"/>
    <col min="10492" max="10493" width="2.75" style="14" bestFit="1" customWidth="1"/>
    <col min="10494" max="10495" width="2.75" style="14" customWidth="1"/>
    <col min="10496" max="10497" width="2.75" style="14" bestFit="1" customWidth="1"/>
    <col min="10498" max="10499" width="2.75" style="14" customWidth="1"/>
    <col min="10500" max="10500" width="2.75" style="14" bestFit="1" customWidth="1"/>
    <col min="10501" max="10502" width="9" style="14"/>
    <col min="10503" max="10504" width="8.625" style="14" customWidth="1"/>
    <col min="10505" max="10505" width="10.125" style="14" bestFit="1" customWidth="1"/>
    <col min="10506" max="10506" width="9" style="14"/>
    <col min="10507" max="10507" width="15" style="14" customWidth="1"/>
    <col min="10508" max="10510" width="9" style="14"/>
    <col min="10511" max="10513" width="9.375" style="14" customWidth="1"/>
    <col min="10514" max="10516" width="8.75" style="14" customWidth="1"/>
    <col min="10517" max="10517" width="9" style="14"/>
    <col min="10518" max="10518" width="12.75" style="14" customWidth="1"/>
    <col min="10519" max="10520" width="9" style="14"/>
    <col min="10521" max="10521" width="12.75" style="14" customWidth="1"/>
    <col min="10522" max="10523" width="9" style="14"/>
    <col min="10524" max="10524" width="9.375" style="14" customWidth="1"/>
    <col min="10525" max="10525" width="9.25" style="14" customWidth="1"/>
    <col min="10526" max="10527" width="12.75" style="14" customWidth="1"/>
    <col min="10528" max="10531" width="7.625" style="14" customWidth="1"/>
    <col min="10532" max="10533" width="12.75" style="14" customWidth="1"/>
    <col min="10534" max="10537" width="7.625" style="14" customWidth="1"/>
    <col min="10538" max="10539" width="12.75" style="14" customWidth="1"/>
    <col min="10540" max="10543" width="7.625" style="14" customWidth="1"/>
    <col min="10544" max="10746" width="9" style="14"/>
    <col min="10747" max="10747" width="9.75" style="14" bestFit="1" customWidth="1"/>
    <col min="10748" max="10749" width="2.75" style="14" bestFit="1" customWidth="1"/>
    <col min="10750" max="10751" width="2.75" style="14" customWidth="1"/>
    <col min="10752" max="10753" width="2.75" style="14" bestFit="1" customWidth="1"/>
    <col min="10754" max="10755" width="2.75" style="14" customWidth="1"/>
    <col min="10756" max="10756" width="2.75" style="14" bestFit="1" customWidth="1"/>
    <col min="10757" max="10758" width="9" style="14"/>
    <col min="10759" max="10760" width="8.625" style="14" customWidth="1"/>
    <col min="10761" max="10761" width="10.125" style="14" bestFit="1" customWidth="1"/>
    <col min="10762" max="10762" width="9" style="14"/>
    <col min="10763" max="10763" width="15" style="14" customWidth="1"/>
    <col min="10764" max="10766" width="9" style="14"/>
    <col min="10767" max="10769" width="9.375" style="14" customWidth="1"/>
    <col min="10770" max="10772" width="8.75" style="14" customWidth="1"/>
    <col min="10773" max="10773" width="9" style="14"/>
    <col min="10774" max="10774" width="12.75" style="14" customWidth="1"/>
    <col min="10775" max="10776" width="9" style="14"/>
    <col min="10777" max="10777" width="12.75" style="14" customWidth="1"/>
    <col min="10778" max="10779" width="9" style="14"/>
    <col min="10780" max="10780" width="9.375" style="14" customWidth="1"/>
    <col min="10781" max="10781" width="9.25" style="14" customWidth="1"/>
    <col min="10782" max="10783" width="12.75" style="14" customWidth="1"/>
    <col min="10784" max="10787" width="7.625" style="14" customWidth="1"/>
    <col min="10788" max="10789" width="12.75" style="14" customWidth="1"/>
    <col min="10790" max="10793" width="7.625" style="14" customWidth="1"/>
    <col min="10794" max="10795" width="12.75" style="14" customWidth="1"/>
    <col min="10796" max="10799" width="7.625" style="14" customWidth="1"/>
    <col min="10800" max="11002" width="9" style="14"/>
    <col min="11003" max="11003" width="9.75" style="14" bestFit="1" customWidth="1"/>
    <col min="11004" max="11005" width="2.75" style="14" bestFit="1" customWidth="1"/>
    <col min="11006" max="11007" width="2.75" style="14" customWidth="1"/>
    <col min="11008" max="11009" width="2.75" style="14" bestFit="1" customWidth="1"/>
    <col min="11010" max="11011" width="2.75" style="14" customWidth="1"/>
    <col min="11012" max="11012" width="2.75" style="14" bestFit="1" customWidth="1"/>
    <col min="11013" max="11014" width="9" style="14"/>
    <col min="11015" max="11016" width="8.625" style="14" customWidth="1"/>
    <col min="11017" max="11017" width="10.125" style="14" bestFit="1" customWidth="1"/>
    <col min="11018" max="11018" width="9" style="14"/>
    <col min="11019" max="11019" width="15" style="14" customWidth="1"/>
    <col min="11020" max="11022" width="9" style="14"/>
    <col min="11023" max="11025" width="9.375" style="14" customWidth="1"/>
    <col min="11026" max="11028" width="8.75" style="14" customWidth="1"/>
    <col min="11029" max="11029" width="9" style="14"/>
    <col min="11030" max="11030" width="12.75" style="14" customWidth="1"/>
    <col min="11031" max="11032" width="9" style="14"/>
    <col min="11033" max="11033" width="12.75" style="14" customWidth="1"/>
    <col min="11034" max="11035" width="9" style="14"/>
    <col min="11036" max="11036" width="9.375" style="14" customWidth="1"/>
    <col min="11037" max="11037" width="9.25" style="14" customWidth="1"/>
    <col min="11038" max="11039" width="12.75" style="14" customWidth="1"/>
    <col min="11040" max="11043" width="7.625" style="14" customWidth="1"/>
    <col min="11044" max="11045" width="12.75" style="14" customWidth="1"/>
    <col min="11046" max="11049" width="7.625" style="14" customWidth="1"/>
    <col min="11050" max="11051" width="12.75" style="14" customWidth="1"/>
    <col min="11052" max="11055" width="7.625" style="14" customWidth="1"/>
    <col min="11056" max="11258" width="9" style="14"/>
    <col min="11259" max="11259" width="9.75" style="14" bestFit="1" customWidth="1"/>
    <col min="11260" max="11261" width="2.75" style="14" bestFit="1" customWidth="1"/>
    <col min="11262" max="11263" width="2.75" style="14" customWidth="1"/>
    <col min="11264" max="11265" width="2.75" style="14" bestFit="1" customWidth="1"/>
    <col min="11266" max="11267" width="2.75" style="14" customWidth="1"/>
    <col min="11268" max="11268" width="2.75" style="14" bestFit="1" customWidth="1"/>
    <col min="11269" max="11270" width="9" style="14"/>
    <col min="11271" max="11272" width="8.625" style="14" customWidth="1"/>
    <col min="11273" max="11273" width="10.125" style="14" bestFit="1" customWidth="1"/>
    <col min="11274" max="11274" width="9" style="14"/>
    <col min="11275" max="11275" width="15" style="14" customWidth="1"/>
    <col min="11276" max="11278" width="9" style="14"/>
    <col min="11279" max="11281" width="9.375" style="14" customWidth="1"/>
    <col min="11282" max="11284" width="8.75" style="14" customWidth="1"/>
    <col min="11285" max="11285" width="9" style="14"/>
    <col min="11286" max="11286" width="12.75" style="14" customWidth="1"/>
    <col min="11287" max="11288" width="9" style="14"/>
    <col min="11289" max="11289" width="12.75" style="14" customWidth="1"/>
    <col min="11290" max="11291" width="9" style="14"/>
    <col min="11292" max="11292" width="9.375" style="14" customWidth="1"/>
    <col min="11293" max="11293" width="9.25" style="14" customWidth="1"/>
    <col min="11294" max="11295" width="12.75" style="14" customWidth="1"/>
    <col min="11296" max="11299" width="7.625" style="14" customWidth="1"/>
    <col min="11300" max="11301" width="12.75" style="14" customWidth="1"/>
    <col min="11302" max="11305" width="7.625" style="14" customWidth="1"/>
    <col min="11306" max="11307" width="12.75" style="14" customWidth="1"/>
    <col min="11308" max="11311" width="7.625" style="14" customWidth="1"/>
    <col min="11312" max="11514" width="9" style="14"/>
    <col min="11515" max="11515" width="9.75" style="14" bestFit="1" customWidth="1"/>
    <col min="11516" max="11517" width="2.75" style="14" bestFit="1" customWidth="1"/>
    <col min="11518" max="11519" width="2.75" style="14" customWidth="1"/>
    <col min="11520" max="11521" width="2.75" style="14" bestFit="1" customWidth="1"/>
    <col min="11522" max="11523" width="2.75" style="14" customWidth="1"/>
    <col min="11524" max="11524" width="2.75" style="14" bestFit="1" customWidth="1"/>
    <col min="11525" max="11526" width="9" style="14"/>
    <col min="11527" max="11528" width="8.625" style="14" customWidth="1"/>
    <col min="11529" max="11529" width="10.125" style="14" bestFit="1" customWidth="1"/>
    <col min="11530" max="11530" width="9" style="14"/>
    <col min="11531" max="11531" width="15" style="14" customWidth="1"/>
    <col min="11532" max="11534" width="9" style="14"/>
    <col min="11535" max="11537" width="9.375" style="14" customWidth="1"/>
    <col min="11538" max="11540" width="8.75" style="14" customWidth="1"/>
    <col min="11541" max="11541" width="9" style="14"/>
    <col min="11542" max="11542" width="12.75" style="14" customWidth="1"/>
    <col min="11543" max="11544" width="9" style="14"/>
    <col min="11545" max="11545" width="12.75" style="14" customWidth="1"/>
    <col min="11546" max="11547" width="9" style="14"/>
    <col min="11548" max="11548" width="9.375" style="14" customWidth="1"/>
    <col min="11549" max="11549" width="9.25" style="14" customWidth="1"/>
    <col min="11550" max="11551" width="12.75" style="14" customWidth="1"/>
    <col min="11552" max="11555" width="7.625" style="14" customWidth="1"/>
    <col min="11556" max="11557" width="12.75" style="14" customWidth="1"/>
    <col min="11558" max="11561" width="7.625" style="14" customWidth="1"/>
    <col min="11562" max="11563" width="12.75" style="14" customWidth="1"/>
    <col min="11564" max="11567" width="7.625" style="14" customWidth="1"/>
    <col min="11568" max="11770" width="9" style="14"/>
    <col min="11771" max="11771" width="9.75" style="14" bestFit="1" customWidth="1"/>
    <col min="11772" max="11773" width="2.75" style="14" bestFit="1" customWidth="1"/>
    <col min="11774" max="11775" width="2.75" style="14" customWidth="1"/>
    <col min="11776" max="11777" width="2.75" style="14" bestFit="1" customWidth="1"/>
    <col min="11778" max="11779" width="2.75" style="14" customWidth="1"/>
    <col min="11780" max="11780" width="2.75" style="14" bestFit="1" customWidth="1"/>
    <col min="11781" max="11782" width="9" style="14"/>
    <col min="11783" max="11784" width="8.625" style="14" customWidth="1"/>
    <col min="11785" max="11785" width="10.125" style="14" bestFit="1" customWidth="1"/>
    <col min="11786" max="11786" width="9" style="14"/>
    <col min="11787" max="11787" width="15" style="14" customWidth="1"/>
    <col min="11788" max="11790" width="9" style="14"/>
    <col min="11791" max="11793" width="9.375" style="14" customWidth="1"/>
    <col min="11794" max="11796" width="8.75" style="14" customWidth="1"/>
    <col min="11797" max="11797" width="9" style="14"/>
    <col min="11798" max="11798" width="12.75" style="14" customWidth="1"/>
    <col min="11799" max="11800" width="9" style="14"/>
    <col min="11801" max="11801" width="12.75" style="14" customWidth="1"/>
    <col min="11802" max="11803" width="9" style="14"/>
    <col min="11804" max="11804" width="9.375" style="14" customWidth="1"/>
    <col min="11805" max="11805" width="9.25" style="14" customWidth="1"/>
    <col min="11806" max="11807" width="12.75" style="14" customWidth="1"/>
    <col min="11808" max="11811" width="7.625" style="14" customWidth="1"/>
    <col min="11812" max="11813" width="12.75" style="14" customWidth="1"/>
    <col min="11814" max="11817" width="7.625" style="14" customWidth="1"/>
    <col min="11818" max="11819" width="12.75" style="14" customWidth="1"/>
    <col min="11820" max="11823" width="7.625" style="14" customWidth="1"/>
    <col min="11824" max="12026" width="9" style="14"/>
    <col min="12027" max="12027" width="9.75" style="14" bestFit="1" customWidth="1"/>
    <col min="12028" max="12029" width="2.75" style="14" bestFit="1" customWidth="1"/>
    <col min="12030" max="12031" width="2.75" style="14" customWidth="1"/>
    <col min="12032" max="12033" width="2.75" style="14" bestFit="1" customWidth="1"/>
    <col min="12034" max="12035" width="2.75" style="14" customWidth="1"/>
    <col min="12036" max="12036" width="2.75" style="14" bestFit="1" customWidth="1"/>
    <col min="12037" max="12038" width="9" style="14"/>
    <col min="12039" max="12040" width="8.625" style="14" customWidth="1"/>
    <col min="12041" max="12041" width="10.125" style="14" bestFit="1" customWidth="1"/>
    <col min="12042" max="12042" width="9" style="14"/>
    <col min="12043" max="12043" width="15" style="14" customWidth="1"/>
    <col min="12044" max="12046" width="9" style="14"/>
    <col min="12047" max="12049" width="9.375" style="14" customWidth="1"/>
    <col min="12050" max="12052" width="8.75" style="14" customWidth="1"/>
    <col min="12053" max="12053" width="9" style="14"/>
    <col min="12054" max="12054" width="12.75" style="14" customWidth="1"/>
    <col min="12055" max="12056" width="9" style="14"/>
    <col min="12057" max="12057" width="12.75" style="14" customWidth="1"/>
    <col min="12058" max="12059" width="9" style="14"/>
    <col min="12060" max="12060" width="9.375" style="14" customWidth="1"/>
    <col min="12061" max="12061" width="9.25" style="14" customWidth="1"/>
    <col min="12062" max="12063" width="12.75" style="14" customWidth="1"/>
    <col min="12064" max="12067" width="7.625" style="14" customWidth="1"/>
    <col min="12068" max="12069" width="12.75" style="14" customWidth="1"/>
    <col min="12070" max="12073" width="7.625" style="14" customWidth="1"/>
    <col min="12074" max="12075" width="12.75" style="14" customWidth="1"/>
    <col min="12076" max="12079" width="7.625" style="14" customWidth="1"/>
    <col min="12080" max="12282" width="9" style="14"/>
    <col min="12283" max="12283" width="9.75" style="14" bestFit="1" customWidth="1"/>
    <col min="12284" max="12285" width="2.75" style="14" bestFit="1" customWidth="1"/>
    <col min="12286" max="12287" width="2.75" style="14" customWidth="1"/>
    <col min="12288" max="12289" width="2.75" style="14" bestFit="1" customWidth="1"/>
    <col min="12290" max="12291" width="2.75" style="14" customWidth="1"/>
    <col min="12292" max="12292" width="2.75" style="14" bestFit="1" customWidth="1"/>
    <col min="12293" max="12294" width="9" style="14"/>
    <col min="12295" max="12296" width="8.625" style="14" customWidth="1"/>
    <col min="12297" max="12297" width="10.125" style="14" bestFit="1" customWidth="1"/>
    <col min="12298" max="12298" width="9" style="14"/>
    <col min="12299" max="12299" width="15" style="14" customWidth="1"/>
    <col min="12300" max="12302" width="9" style="14"/>
    <col min="12303" max="12305" width="9.375" style="14" customWidth="1"/>
    <col min="12306" max="12308" width="8.75" style="14" customWidth="1"/>
    <col min="12309" max="12309" width="9" style="14"/>
    <col min="12310" max="12310" width="12.75" style="14" customWidth="1"/>
    <col min="12311" max="12312" width="9" style="14"/>
    <col min="12313" max="12313" width="12.75" style="14" customWidth="1"/>
    <col min="12314" max="12315" width="9" style="14"/>
    <col min="12316" max="12316" width="9.375" style="14" customWidth="1"/>
    <col min="12317" max="12317" width="9.25" style="14" customWidth="1"/>
    <col min="12318" max="12319" width="12.75" style="14" customWidth="1"/>
    <col min="12320" max="12323" width="7.625" style="14" customWidth="1"/>
    <col min="12324" max="12325" width="12.75" style="14" customWidth="1"/>
    <col min="12326" max="12329" width="7.625" style="14" customWidth="1"/>
    <col min="12330" max="12331" width="12.75" style="14" customWidth="1"/>
    <col min="12332" max="12335" width="7.625" style="14" customWidth="1"/>
    <col min="12336" max="12538" width="9" style="14"/>
    <col min="12539" max="12539" width="9.75" style="14" bestFit="1" customWidth="1"/>
    <col min="12540" max="12541" width="2.75" style="14" bestFit="1" customWidth="1"/>
    <col min="12542" max="12543" width="2.75" style="14" customWidth="1"/>
    <col min="12544" max="12545" width="2.75" style="14" bestFit="1" customWidth="1"/>
    <col min="12546" max="12547" width="2.75" style="14" customWidth="1"/>
    <col min="12548" max="12548" width="2.75" style="14" bestFit="1" customWidth="1"/>
    <col min="12549" max="12550" width="9" style="14"/>
    <col min="12551" max="12552" width="8.625" style="14" customWidth="1"/>
    <col min="12553" max="12553" width="10.125" style="14" bestFit="1" customWidth="1"/>
    <col min="12554" max="12554" width="9" style="14"/>
    <col min="12555" max="12555" width="15" style="14" customWidth="1"/>
    <col min="12556" max="12558" width="9" style="14"/>
    <col min="12559" max="12561" width="9.375" style="14" customWidth="1"/>
    <col min="12562" max="12564" width="8.75" style="14" customWidth="1"/>
    <col min="12565" max="12565" width="9" style="14"/>
    <col min="12566" max="12566" width="12.75" style="14" customWidth="1"/>
    <col min="12567" max="12568" width="9" style="14"/>
    <col min="12569" max="12569" width="12.75" style="14" customWidth="1"/>
    <col min="12570" max="12571" width="9" style="14"/>
    <col min="12572" max="12572" width="9.375" style="14" customWidth="1"/>
    <col min="12573" max="12573" width="9.25" style="14" customWidth="1"/>
    <col min="12574" max="12575" width="12.75" style="14" customWidth="1"/>
    <col min="12576" max="12579" width="7.625" style="14" customWidth="1"/>
    <col min="12580" max="12581" width="12.75" style="14" customWidth="1"/>
    <col min="12582" max="12585" width="7.625" style="14" customWidth="1"/>
    <col min="12586" max="12587" width="12.75" style="14" customWidth="1"/>
    <col min="12588" max="12591" width="7.625" style="14" customWidth="1"/>
    <col min="12592" max="12794" width="9" style="14"/>
    <col min="12795" max="12795" width="9.75" style="14" bestFit="1" customWidth="1"/>
    <col min="12796" max="12797" width="2.75" style="14" bestFit="1" customWidth="1"/>
    <col min="12798" max="12799" width="2.75" style="14" customWidth="1"/>
    <col min="12800" max="12801" width="2.75" style="14" bestFit="1" customWidth="1"/>
    <col min="12802" max="12803" width="2.75" style="14" customWidth="1"/>
    <col min="12804" max="12804" width="2.75" style="14" bestFit="1" customWidth="1"/>
    <col min="12805" max="12806" width="9" style="14"/>
    <col min="12807" max="12808" width="8.625" style="14" customWidth="1"/>
    <col min="12809" max="12809" width="10.125" style="14" bestFit="1" customWidth="1"/>
    <col min="12810" max="12810" width="9" style="14"/>
    <col min="12811" max="12811" width="15" style="14" customWidth="1"/>
    <col min="12812" max="12814" width="9" style="14"/>
    <col min="12815" max="12817" width="9.375" style="14" customWidth="1"/>
    <col min="12818" max="12820" width="8.75" style="14" customWidth="1"/>
    <col min="12821" max="12821" width="9" style="14"/>
    <col min="12822" max="12822" width="12.75" style="14" customWidth="1"/>
    <col min="12823" max="12824" width="9" style="14"/>
    <col min="12825" max="12825" width="12.75" style="14" customWidth="1"/>
    <col min="12826" max="12827" width="9" style="14"/>
    <col min="12828" max="12828" width="9.375" style="14" customWidth="1"/>
    <col min="12829" max="12829" width="9.25" style="14" customWidth="1"/>
    <col min="12830" max="12831" width="12.75" style="14" customWidth="1"/>
    <col min="12832" max="12835" width="7.625" style="14" customWidth="1"/>
    <col min="12836" max="12837" width="12.75" style="14" customWidth="1"/>
    <col min="12838" max="12841" width="7.625" style="14" customWidth="1"/>
    <col min="12842" max="12843" width="12.75" style="14" customWidth="1"/>
    <col min="12844" max="12847" width="7.625" style="14" customWidth="1"/>
    <col min="12848" max="13050" width="9" style="14"/>
    <col min="13051" max="13051" width="9.75" style="14" bestFit="1" customWidth="1"/>
    <col min="13052" max="13053" width="2.75" style="14" bestFit="1" customWidth="1"/>
    <col min="13054" max="13055" width="2.75" style="14" customWidth="1"/>
    <col min="13056" max="13057" width="2.75" style="14" bestFit="1" customWidth="1"/>
    <col min="13058" max="13059" width="2.75" style="14" customWidth="1"/>
    <col min="13060" max="13060" width="2.75" style="14" bestFit="1" customWidth="1"/>
    <col min="13061" max="13062" width="9" style="14"/>
    <col min="13063" max="13064" width="8.625" style="14" customWidth="1"/>
    <col min="13065" max="13065" width="10.125" style="14" bestFit="1" customWidth="1"/>
    <col min="13066" max="13066" width="9" style="14"/>
    <col min="13067" max="13067" width="15" style="14" customWidth="1"/>
    <col min="13068" max="13070" width="9" style="14"/>
    <col min="13071" max="13073" width="9.375" style="14" customWidth="1"/>
    <col min="13074" max="13076" width="8.75" style="14" customWidth="1"/>
    <col min="13077" max="13077" width="9" style="14"/>
    <col min="13078" max="13078" width="12.75" style="14" customWidth="1"/>
    <col min="13079" max="13080" width="9" style="14"/>
    <col min="13081" max="13081" width="12.75" style="14" customWidth="1"/>
    <col min="13082" max="13083" width="9" style="14"/>
    <col min="13084" max="13084" width="9.375" style="14" customWidth="1"/>
    <col min="13085" max="13085" width="9.25" style="14" customWidth="1"/>
    <col min="13086" max="13087" width="12.75" style="14" customWidth="1"/>
    <col min="13088" max="13091" width="7.625" style="14" customWidth="1"/>
    <col min="13092" max="13093" width="12.75" style="14" customWidth="1"/>
    <col min="13094" max="13097" width="7.625" style="14" customWidth="1"/>
    <col min="13098" max="13099" width="12.75" style="14" customWidth="1"/>
    <col min="13100" max="13103" width="7.625" style="14" customWidth="1"/>
    <col min="13104" max="13306" width="9" style="14"/>
    <col min="13307" max="13307" width="9.75" style="14" bestFit="1" customWidth="1"/>
    <col min="13308" max="13309" width="2.75" style="14" bestFit="1" customWidth="1"/>
    <col min="13310" max="13311" width="2.75" style="14" customWidth="1"/>
    <col min="13312" max="13313" width="2.75" style="14" bestFit="1" customWidth="1"/>
    <col min="13314" max="13315" width="2.75" style="14" customWidth="1"/>
    <col min="13316" max="13316" width="2.75" style="14" bestFit="1" customWidth="1"/>
    <col min="13317" max="13318" width="9" style="14"/>
    <col min="13319" max="13320" width="8.625" style="14" customWidth="1"/>
    <col min="13321" max="13321" width="10.125" style="14" bestFit="1" customWidth="1"/>
    <col min="13322" max="13322" width="9" style="14"/>
    <col min="13323" max="13323" width="15" style="14" customWidth="1"/>
    <col min="13324" max="13326" width="9" style="14"/>
    <col min="13327" max="13329" width="9.375" style="14" customWidth="1"/>
    <col min="13330" max="13332" width="8.75" style="14" customWidth="1"/>
    <col min="13333" max="13333" width="9" style="14"/>
    <col min="13334" max="13334" width="12.75" style="14" customWidth="1"/>
    <col min="13335" max="13336" width="9" style="14"/>
    <col min="13337" max="13337" width="12.75" style="14" customWidth="1"/>
    <col min="13338" max="13339" width="9" style="14"/>
    <col min="13340" max="13340" width="9.375" style="14" customWidth="1"/>
    <col min="13341" max="13341" width="9.25" style="14" customWidth="1"/>
    <col min="13342" max="13343" width="12.75" style="14" customWidth="1"/>
    <col min="13344" max="13347" width="7.625" style="14" customWidth="1"/>
    <col min="13348" max="13349" width="12.75" style="14" customWidth="1"/>
    <col min="13350" max="13353" width="7.625" style="14" customWidth="1"/>
    <col min="13354" max="13355" width="12.75" style="14" customWidth="1"/>
    <col min="13356" max="13359" width="7.625" style="14" customWidth="1"/>
    <col min="13360" max="13562" width="9" style="14"/>
    <col min="13563" max="13563" width="9.75" style="14" bestFit="1" customWidth="1"/>
    <col min="13564" max="13565" width="2.75" style="14" bestFit="1" customWidth="1"/>
    <col min="13566" max="13567" width="2.75" style="14" customWidth="1"/>
    <col min="13568" max="13569" width="2.75" style="14" bestFit="1" customWidth="1"/>
    <col min="13570" max="13571" width="2.75" style="14" customWidth="1"/>
    <col min="13572" max="13572" width="2.75" style="14" bestFit="1" customWidth="1"/>
    <col min="13573" max="13574" width="9" style="14"/>
    <col min="13575" max="13576" width="8.625" style="14" customWidth="1"/>
    <col min="13577" max="13577" width="10.125" style="14" bestFit="1" customWidth="1"/>
    <col min="13578" max="13578" width="9" style="14"/>
    <col min="13579" max="13579" width="15" style="14" customWidth="1"/>
    <col min="13580" max="13582" width="9" style="14"/>
    <col min="13583" max="13585" width="9.375" style="14" customWidth="1"/>
    <col min="13586" max="13588" width="8.75" style="14" customWidth="1"/>
    <col min="13589" max="13589" width="9" style="14"/>
    <col min="13590" max="13590" width="12.75" style="14" customWidth="1"/>
    <col min="13591" max="13592" width="9" style="14"/>
    <col min="13593" max="13593" width="12.75" style="14" customWidth="1"/>
    <col min="13594" max="13595" width="9" style="14"/>
    <col min="13596" max="13596" width="9.375" style="14" customWidth="1"/>
    <col min="13597" max="13597" width="9.25" style="14" customWidth="1"/>
    <col min="13598" max="13599" width="12.75" style="14" customWidth="1"/>
    <col min="13600" max="13603" width="7.625" style="14" customWidth="1"/>
    <col min="13604" max="13605" width="12.75" style="14" customWidth="1"/>
    <col min="13606" max="13609" width="7.625" style="14" customWidth="1"/>
    <col min="13610" max="13611" width="12.75" style="14" customWidth="1"/>
    <col min="13612" max="13615" width="7.625" style="14" customWidth="1"/>
    <col min="13616" max="13818" width="9" style="14"/>
    <col min="13819" max="13819" width="9.75" style="14" bestFit="1" customWidth="1"/>
    <col min="13820" max="13821" width="2.75" style="14" bestFit="1" customWidth="1"/>
    <col min="13822" max="13823" width="2.75" style="14" customWidth="1"/>
    <col min="13824" max="13825" width="2.75" style="14" bestFit="1" customWidth="1"/>
    <col min="13826" max="13827" width="2.75" style="14" customWidth="1"/>
    <col min="13828" max="13828" width="2.75" style="14" bestFit="1" customWidth="1"/>
    <col min="13829" max="13830" width="9" style="14"/>
    <col min="13831" max="13832" width="8.625" style="14" customWidth="1"/>
    <col min="13833" max="13833" width="10.125" style="14" bestFit="1" customWidth="1"/>
    <col min="13834" max="13834" width="9" style="14"/>
    <col min="13835" max="13835" width="15" style="14" customWidth="1"/>
    <col min="13836" max="13838" width="9" style="14"/>
    <col min="13839" max="13841" width="9.375" style="14" customWidth="1"/>
    <col min="13842" max="13844" width="8.75" style="14" customWidth="1"/>
    <col min="13845" max="13845" width="9" style="14"/>
    <col min="13846" max="13846" width="12.75" style="14" customWidth="1"/>
    <col min="13847" max="13848" width="9" style="14"/>
    <col min="13849" max="13849" width="12.75" style="14" customWidth="1"/>
    <col min="13850" max="13851" width="9" style="14"/>
    <col min="13852" max="13852" width="9.375" style="14" customWidth="1"/>
    <col min="13853" max="13853" width="9.25" style="14" customWidth="1"/>
    <col min="13854" max="13855" width="12.75" style="14" customWidth="1"/>
    <col min="13856" max="13859" width="7.625" style="14" customWidth="1"/>
    <col min="13860" max="13861" width="12.75" style="14" customWidth="1"/>
    <col min="13862" max="13865" width="7.625" style="14" customWidth="1"/>
    <col min="13866" max="13867" width="12.75" style="14" customWidth="1"/>
    <col min="13868" max="13871" width="7.625" style="14" customWidth="1"/>
    <col min="13872" max="14074" width="9" style="14"/>
    <col min="14075" max="14075" width="9.75" style="14" bestFit="1" customWidth="1"/>
    <col min="14076" max="14077" width="2.75" style="14" bestFit="1" customWidth="1"/>
    <col min="14078" max="14079" width="2.75" style="14" customWidth="1"/>
    <col min="14080" max="14081" width="2.75" style="14" bestFit="1" customWidth="1"/>
    <col min="14082" max="14083" width="2.75" style="14" customWidth="1"/>
    <col min="14084" max="14084" width="2.75" style="14" bestFit="1" customWidth="1"/>
    <col min="14085" max="14086" width="9" style="14"/>
    <col min="14087" max="14088" width="8.625" style="14" customWidth="1"/>
    <col min="14089" max="14089" width="10.125" style="14" bestFit="1" customWidth="1"/>
    <col min="14090" max="14090" width="9" style="14"/>
    <col min="14091" max="14091" width="15" style="14" customWidth="1"/>
    <col min="14092" max="14094" width="9" style="14"/>
    <col min="14095" max="14097" width="9.375" style="14" customWidth="1"/>
    <col min="14098" max="14100" width="8.75" style="14" customWidth="1"/>
    <col min="14101" max="14101" width="9" style="14"/>
    <col min="14102" max="14102" width="12.75" style="14" customWidth="1"/>
    <col min="14103" max="14104" width="9" style="14"/>
    <col min="14105" max="14105" width="12.75" style="14" customWidth="1"/>
    <col min="14106" max="14107" width="9" style="14"/>
    <col min="14108" max="14108" width="9.375" style="14" customWidth="1"/>
    <col min="14109" max="14109" width="9.25" style="14" customWidth="1"/>
    <col min="14110" max="14111" width="12.75" style="14" customWidth="1"/>
    <col min="14112" max="14115" width="7.625" style="14" customWidth="1"/>
    <col min="14116" max="14117" width="12.75" style="14" customWidth="1"/>
    <col min="14118" max="14121" width="7.625" style="14" customWidth="1"/>
    <col min="14122" max="14123" width="12.75" style="14" customWidth="1"/>
    <col min="14124" max="14127" width="7.625" style="14" customWidth="1"/>
    <col min="14128" max="14330" width="9" style="14"/>
    <col min="14331" max="14331" width="9.75" style="14" bestFit="1" customWidth="1"/>
    <col min="14332" max="14333" width="2.75" style="14" bestFit="1" customWidth="1"/>
    <col min="14334" max="14335" width="2.75" style="14" customWidth="1"/>
    <col min="14336" max="14337" width="2.75" style="14" bestFit="1" customWidth="1"/>
    <col min="14338" max="14339" width="2.75" style="14" customWidth="1"/>
    <col min="14340" max="14340" width="2.75" style="14" bestFit="1" customWidth="1"/>
    <col min="14341" max="14342" width="9" style="14"/>
    <col min="14343" max="14344" width="8.625" style="14" customWidth="1"/>
    <col min="14345" max="14345" width="10.125" style="14" bestFit="1" customWidth="1"/>
    <col min="14346" max="14346" width="9" style="14"/>
    <col min="14347" max="14347" width="15" style="14" customWidth="1"/>
    <col min="14348" max="14350" width="9" style="14"/>
    <col min="14351" max="14353" width="9.375" style="14" customWidth="1"/>
    <col min="14354" max="14356" width="8.75" style="14" customWidth="1"/>
    <col min="14357" max="14357" width="9" style="14"/>
    <col min="14358" max="14358" width="12.75" style="14" customWidth="1"/>
    <col min="14359" max="14360" width="9" style="14"/>
    <col min="14361" max="14361" width="12.75" style="14" customWidth="1"/>
    <col min="14362" max="14363" width="9" style="14"/>
    <col min="14364" max="14364" width="9.375" style="14" customWidth="1"/>
    <col min="14365" max="14365" width="9.25" style="14" customWidth="1"/>
    <col min="14366" max="14367" width="12.75" style="14" customWidth="1"/>
    <col min="14368" max="14371" width="7.625" style="14" customWidth="1"/>
    <col min="14372" max="14373" width="12.75" style="14" customWidth="1"/>
    <col min="14374" max="14377" width="7.625" style="14" customWidth="1"/>
    <col min="14378" max="14379" width="12.75" style="14" customWidth="1"/>
    <col min="14380" max="14383" width="7.625" style="14" customWidth="1"/>
    <col min="14384" max="14586" width="9" style="14"/>
    <col min="14587" max="14587" width="9.75" style="14" bestFit="1" customWidth="1"/>
    <col min="14588" max="14589" width="2.75" style="14" bestFit="1" customWidth="1"/>
    <col min="14590" max="14591" width="2.75" style="14" customWidth="1"/>
    <col min="14592" max="14593" width="2.75" style="14" bestFit="1" customWidth="1"/>
    <col min="14594" max="14595" width="2.75" style="14" customWidth="1"/>
    <col min="14596" max="14596" width="2.75" style="14" bestFit="1" customWidth="1"/>
    <col min="14597" max="14598" width="9" style="14"/>
    <col min="14599" max="14600" width="8.625" style="14" customWidth="1"/>
    <col min="14601" max="14601" width="10.125" style="14" bestFit="1" customWidth="1"/>
    <col min="14602" max="14602" width="9" style="14"/>
    <col min="14603" max="14603" width="15" style="14" customWidth="1"/>
    <col min="14604" max="14606" width="9" style="14"/>
    <col min="14607" max="14609" width="9.375" style="14" customWidth="1"/>
    <col min="14610" max="14612" width="8.75" style="14" customWidth="1"/>
    <col min="14613" max="14613" width="9" style="14"/>
    <col min="14614" max="14614" width="12.75" style="14" customWidth="1"/>
    <col min="14615" max="14616" width="9" style="14"/>
    <col min="14617" max="14617" width="12.75" style="14" customWidth="1"/>
    <col min="14618" max="14619" width="9" style="14"/>
    <col min="14620" max="14620" width="9.375" style="14" customWidth="1"/>
    <col min="14621" max="14621" width="9.25" style="14" customWidth="1"/>
    <col min="14622" max="14623" width="12.75" style="14" customWidth="1"/>
    <col min="14624" max="14627" width="7.625" style="14" customWidth="1"/>
    <col min="14628" max="14629" width="12.75" style="14" customWidth="1"/>
    <col min="14630" max="14633" width="7.625" style="14" customWidth="1"/>
    <col min="14634" max="14635" width="12.75" style="14" customWidth="1"/>
    <col min="14636" max="14639" width="7.625" style="14" customWidth="1"/>
    <col min="14640" max="14842" width="9" style="14"/>
    <col min="14843" max="14843" width="9.75" style="14" bestFit="1" customWidth="1"/>
    <col min="14844" max="14845" width="2.75" style="14" bestFit="1" customWidth="1"/>
    <col min="14846" max="14847" width="2.75" style="14" customWidth="1"/>
    <col min="14848" max="14849" width="2.75" style="14" bestFit="1" customWidth="1"/>
    <col min="14850" max="14851" width="2.75" style="14" customWidth="1"/>
    <col min="14852" max="14852" width="2.75" style="14" bestFit="1" customWidth="1"/>
    <col min="14853" max="14854" width="9" style="14"/>
    <col min="14855" max="14856" width="8.625" style="14" customWidth="1"/>
    <col min="14857" max="14857" width="10.125" style="14" bestFit="1" customWidth="1"/>
    <col min="14858" max="14858" width="9" style="14"/>
    <col min="14859" max="14859" width="15" style="14" customWidth="1"/>
    <col min="14860" max="14862" width="9" style="14"/>
    <col min="14863" max="14865" width="9.375" style="14" customWidth="1"/>
    <col min="14866" max="14868" width="8.75" style="14" customWidth="1"/>
    <col min="14869" max="14869" width="9" style="14"/>
    <col min="14870" max="14870" width="12.75" style="14" customWidth="1"/>
    <col min="14871" max="14872" width="9" style="14"/>
    <col min="14873" max="14873" width="12.75" style="14" customWidth="1"/>
    <col min="14874" max="14875" width="9" style="14"/>
    <col min="14876" max="14876" width="9.375" style="14" customWidth="1"/>
    <col min="14877" max="14877" width="9.25" style="14" customWidth="1"/>
    <col min="14878" max="14879" width="12.75" style="14" customWidth="1"/>
    <col min="14880" max="14883" width="7.625" style="14" customWidth="1"/>
    <col min="14884" max="14885" width="12.75" style="14" customWidth="1"/>
    <col min="14886" max="14889" width="7.625" style="14" customWidth="1"/>
    <col min="14890" max="14891" width="12.75" style="14" customWidth="1"/>
    <col min="14892" max="14895" width="7.625" style="14" customWidth="1"/>
    <col min="14896" max="15098" width="9" style="14"/>
    <col min="15099" max="15099" width="9.75" style="14" bestFit="1" customWidth="1"/>
    <col min="15100" max="15101" width="2.75" style="14" bestFit="1" customWidth="1"/>
    <col min="15102" max="15103" width="2.75" style="14" customWidth="1"/>
    <col min="15104" max="15105" width="2.75" style="14" bestFit="1" customWidth="1"/>
    <col min="15106" max="15107" width="2.75" style="14" customWidth="1"/>
    <col min="15108" max="15108" width="2.75" style="14" bestFit="1" customWidth="1"/>
    <col min="15109" max="15110" width="9" style="14"/>
    <col min="15111" max="15112" width="8.625" style="14" customWidth="1"/>
    <col min="15113" max="15113" width="10.125" style="14" bestFit="1" customWidth="1"/>
    <col min="15114" max="15114" width="9" style="14"/>
    <col min="15115" max="15115" width="15" style="14" customWidth="1"/>
    <col min="15116" max="15118" width="9" style="14"/>
    <col min="15119" max="15121" width="9.375" style="14" customWidth="1"/>
    <col min="15122" max="15124" width="8.75" style="14" customWidth="1"/>
    <col min="15125" max="15125" width="9" style="14"/>
    <col min="15126" max="15126" width="12.75" style="14" customWidth="1"/>
    <col min="15127" max="15128" width="9" style="14"/>
    <col min="15129" max="15129" width="12.75" style="14" customWidth="1"/>
    <col min="15130" max="15131" width="9" style="14"/>
    <col min="15132" max="15132" width="9.375" style="14" customWidth="1"/>
    <col min="15133" max="15133" width="9.25" style="14" customWidth="1"/>
    <col min="15134" max="15135" width="12.75" style="14" customWidth="1"/>
    <col min="15136" max="15139" width="7.625" style="14" customWidth="1"/>
    <col min="15140" max="15141" width="12.75" style="14" customWidth="1"/>
    <col min="15142" max="15145" width="7.625" style="14" customWidth="1"/>
    <col min="15146" max="15147" width="12.75" style="14" customWidth="1"/>
    <col min="15148" max="15151" width="7.625" style="14" customWidth="1"/>
    <col min="15152" max="15354" width="9" style="14"/>
    <col min="15355" max="15355" width="9.75" style="14" bestFit="1" customWidth="1"/>
    <col min="15356" max="15357" width="2.75" style="14" bestFit="1" customWidth="1"/>
    <col min="15358" max="15359" width="2.75" style="14" customWidth="1"/>
    <col min="15360" max="15361" width="2.75" style="14" bestFit="1" customWidth="1"/>
    <col min="15362" max="15363" width="2.75" style="14" customWidth="1"/>
    <col min="15364" max="15364" width="2.75" style="14" bestFit="1" customWidth="1"/>
    <col min="15365" max="15366" width="9" style="14"/>
    <col min="15367" max="15368" width="8.625" style="14" customWidth="1"/>
    <col min="15369" max="15369" width="10.125" style="14" bestFit="1" customWidth="1"/>
    <col min="15370" max="15370" width="9" style="14"/>
    <col min="15371" max="15371" width="15" style="14" customWidth="1"/>
    <col min="15372" max="15374" width="9" style="14"/>
    <col min="15375" max="15377" width="9.375" style="14" customWidth="1"/>
    <col min="15378" max="15380" width="8.75" style="14" customWidth="1"/>
    <col min="15381" max="15381" width="9" style="14"/>
    <col min="15382" max="15382" width="12.75" style="14" customWidth="1"/>
    <col min="15383" max="15384" width="9" style="14"/>
    <col min="15385" max="15385" width="12.75" style="14" customWidth="1"/>
    <col min="15386" max="15387" width="9" style="14"/>
    <col min="15388" max="15388" width="9.375" style="14" customWidth="1"/>
    <col min="15389" max="15389" width="9.25" style="14" customWidth="1"/>
    <col min="15390" max="15391" width="12.75" style="14" customWidth="1"/>
    <col min="15392" max="15395" width="7.625" style="14" customWidth="1"/>
    <col min="15396" max="15397" width="12.75" style="14" customWidth="1"/>
    <col min="15398" max="15401" width="7.625" style="14" customWidth="1"/>
    <col min="15402" max="15403" width="12.75" style="14" customWidth="1"/>
    <col min="15404" max="15407" width="7.625" style="14" customWidth="1"/>
    <col min="15408" max="15610" width="9" style="14"/>
    <col min="15611" max="15611" width="9.75" style="14" bestFit="1" customWidth="1"/>
    <col min="15612" max="15613" width="2.75" style="14" bestFit="1" customWidth="1"/>
    <col min="15614" max="15615" width="2.75" style="14" customWidth="1"/>
    <col min="15616" max="15617" width="2.75" style="14" bestFit="1" customWidth="1"/>
    <col min="15618" max="15619" width="2.75" style="14" customWidth="1"/>
    <col min="15620" max="15620" width="2.75" style="14" bestFit="1" customWidth="1"/>
    <col min="15621" max="15622" width="9" style="14"/>
    <col min="15623" max="15624" width="8.625" style="14" customWidth="1"/>
    <col min="15625" max="15625" width="10.125" style="14" bestFit="1" customWidth="1"/>
    <col min="15626" max="15626" width="9" style="14"/>
    <col min="15627" max="15627" width="15" style="14" customWidth="1"/>
    <col min="15628" max="15630" width="9" style="14"/>
    <col min="15631" max="15633" width="9.375" style="14" customWidth="1"/>
    <col min="15634" max="15636" width="8.75" style="14" customWidth="1"/>
    <col min="15637" max="15637" width="9" style="14"/>
    <col min="15638" max="15638" width="12.75" style="14" customWidth="1"/>
    <col min="15639" max="15640" width="9" style="14"/>
    <col min="15641" max="15641" width="12.75" style="14" customWidth="1"/>
    <col min="15642" max="15643" width="9" style="14"/>
    <col min="15644" max="15644" width="9.375" style="14" customWidth="1"/>
    <col min="15645" max="15645" width="9.25" style="14" customWidth="1"/>
    <col min="15646" max="15647" width="12.75" style="14" customWidth="1"/>
    <col min="15648" max="15651" width="7.625" style="14" customWidth="1"/>
    <col min="15652" max="15653" width="12.75" style="14" customWidth="1"/>
    <col min="15654" max="15657" width="7.625" style="14" customWidth="1"/>
    <col min="15658" max="15659" width="12.75" style="14" customWidth="1"/>
    <col min="15660" max="15663" width="7.625" style="14" customWidth="1"/>
    <col min="15664" max="15866" width="9" style="14"/>
    <col min="15867" max="15867" width="9.75" style="14" bestFit="1" customWidth="1"/>
    <col min="15868" max="15869" width="2.75" style="14" bestFit="1" customWidth="1"/>
    <col min="15870" max="15871" width="2.75" style="14" customWidth="1"/>
    <col min="15872" max="15873" width="2.75" style="14" bestFit="1" customWidth="1"/>
    <col min="15874" max="15875" width="2.75" style="14" customWidth="1"/>
    <col min="15876" max="15876" width="2.75" style="14" bestFit="1" customWidth="1"/>
    <col min="15877" max="15878" width="9" style="14"/>
    <col min="15879" max="15880" width="8.625" style="14" customWidth="1"/>
    <col min="15881" max="15881" width="10.125" style="14" bestFit="1" customWidth="1"/>
    <col min="15882" max="15882" width="9" style="14"/>
    <col min="15883" max="15883" width="15" style="14" customWidth="1"/>
    <col min="15884" max="15886" width="9" style="14"/>
    <col min="15887" max="15889" width="9.375" style="14" customWidth="1"/>
    <col min="15890" max="15892" width="8.75" style="14" customWidth="1"/>
    <col min="15893" max="15893" width="9" style="14"/>
    <col min="15894" max="15894" width="12.75" style="14" customWidth="1"/>
    <col min="15895" max="15896" width="9" style="14"/>
    <col min="15897" max="15897" width="12.75" style="14" customWidth="1"/>
    <col min="15898" max="15899" width="9" style="14"/>
    <col min="15900" max="15900" width="9.375" style="14" customWidth="1"/>
    <col min="15901" max="15901" width="9.25" style="14" customWidth="1"/>
    <col min="15902" max="15903" width="12.75" style="14" customWidth="1"/>
    <col min="15904" max="15907" width="7.625" style="14" customWidth="1"/>
    <col min="15908" max="15909" width="12.75" style="14" customWidth="1"/>
    <col min="15910" max="15913" width="7.625" style="14" customWidth="1"/>
    <col min="15914" max="15915" width="12.75" style="14" customWidth="1"/>
    <col min="15916" max="15919" width="7.625" style="14" customWidth="1"/>
    <col min="15920" max="16122" width="9" style="14"/>
    <col min="16123" max="16123" width="9.75" style="14" bestFit="1" customWidth="1"/>
    <col min="16124" max="16125" width="2.75" style="14" bestFit="1" customWidth="1"/>
    <col min="16126" max="16127" width="2.75" style="14" customWidth="1"/>
    <col min="16128" max="16129" width="2.75" style="14" bestFit="1" customWidth="1"/>
    <col min="16130" max="16131" width="2.75" style="14" customWidth="1"/>
    <col min="16132" max="16132" width="2.75" style="14" bestFit="1" customWidth="1"/>
    <col min="16133" max="16134" width="9" style="14"/>
    <col min="16135" max="16136" width="8.625" style="14" customWidth="1"/>
    <col min="16137" max="16137" width="10.125" style="14" bestFit="1" customWidth="1"/>
    <col min="16138" max="16138" width="9" style="14"/>
    <col min="16139" max="16139" width="15" style="14" customWidth="1"/>
    <col min="16140" max="16142" width="9" style="14"/>
    <col min="16143" max="16145" width="9.375" style="14" customWidth="1"/>
    <col min="16146" max="16148" width="8.75" style="14" customWidth="1"/>
    <col min="16149" max="16149" width="9" style="14"/>
    <col min="16150" max="16150" width="12.75" style="14" customWidth="1"/>
    <col min="16151" max="16152" width="9" style="14"/>
    <col min="16153" max="16153" width="12.75" style="14" customWidth="1"/>
    <col min="16154" max="16155" width="9" style="14"/>
    <col min="16156" max="16156" width="9.375" style="14" customWidth="1"/>
    <col min="16157" max="16157" width="9.25" style="14" customWidth="1"/>
    <col min="16158" max="16159" width="12.75" style="14" customWidth="1"/>
    <col min="16160" max="16163" width="7.625" style="14" customWidth="1"/>
    <col min="16164" max="16165" width="12.75" style="14" customWidth="1"/>
    <col min="16166" max="16169" width="7.625" style="14" customWidth="1"/>
    <col min="16170" max="16171" width="12.75" style="14" customWidth="1"/>
    <col min="16172" max="16175" width="7.625" style="14" customWidth="1"/>
    <col min="16176" max="16384" width="9" style="14"/>
  </cols>
  <sheetData>
    <row r="1" spans="1:50" s="6" customFormat="1" ht="31.5" customHeight="1" x14ac:dyDescent="0.15">
      <c r="A1" s="267" t="str">
        <f ca="1">MID(CELL("bestandsnaam",A1),SEARCH("]",CELL("bestandsnaam",A1),1)+1,99)</f>
        <v>Stof</v>
      </c>
      <c r="B1" s="926" t="s">
        <v>283</v>
      </c>
      <c r="C1" s="929" t="s">
        <v>284</v>
      </c>
      <c r="D1" s="935" t="s">
        <v>26</v>
      </c>
      <c r="E1" s="936"/>
      <c r="F1" s="936"/>
      <c r="G1" s="936"/>
      <c r="H1" s="936"/>
      <c r="I1" s="936"/>
      <c r="J1" s="936"/>
      <c r="K1" s="936"/>
      <c r="L1" s="936"/>
      <c r="M1" s="936"/>
      <c r="N1" s="936"/>
      <c r="O1" s="937"/>
      <c r="P1" s="935" t="s">
        <v>3</v>
      </c>
      <c r="Q1" s="936"/>
      <c r="R1" s="936"/>
      <c r="S1" s="936"/>
      <c r="T1" s="936"/>
      <c r="U1" s="936"/>
      <c r="V1" s="936"/>
      <c r="W1" s="936"/>
      <c r="X1" s="936"/>
      <c r="Y1" s="937"/>
      <c r="Z1" s="932" t="s">
        <v>190</v>
      </c>
      <c r="AA1" s="933"/>
      <c r="AB1" s="932" t="s">
        <v>114</v>
      </c>
      <c r="AC1" s="934"/>
      <c r="AD1" s="933"/>
      <c r="AE1" s="183" t="s">
        <v>357</v>
      </c>
      <c r="AF1" s="184"/>
      <c r="AG1" s="184"/>
      <c r="AH1" s="185"/>
      <c r="AI1" s="252" t="s">
        <v>81</v>
      </c>
      <c r="AJ1" s="184"/>
      <c r="AK1" s="671" t="str">
        <f ca="1">IF($B$5=0,"",IF(INDEX(AK$1:AK$84,$B$5)="","",IF(AND(OR($AI5="",INGVAN="",$AI5&lt;=INGVAN),OR($AI5="",INGTOT="",$AI5&lt;=INGTOT)),1,0)))</f>
        <v/>
      </c>
      <c r="AL1" s="184" t="str">
        <f ca="1">IF($B$5=0,"",IF(INDEX(AK$1:AK$84,$B$5)="","",IF(AND(OR($AJ5="",INGVAN="",$AJ5&gt;=INGVAN),OR($AJ5="",INGTOT="",$AJ5&gt;=INGTOT)),1,0)))</f>
        <v/>
      </c>
      <c r="AM1" s="184"/>
      <c r="AN1" s="183" t="s">
        <v>72</v>
      </c>
      <c r="AO1" s="186"/>
      <c r="AP1" s="184"/>
      <c r="AQ1" s="184"/>
      <c r="AR1" s="184"/>
      <c r="AS1" s="184"/>
      <c r="AT1" s="184"/>
      <c r="AU1" s="184"/>
      <c r="AV1" s="184"/>
      <c r="AW1" s="184"/>
      <c r="AX1" s="185"/>
    </row>
    <row r="2" spans="1:50" s="4" customFormat="1" ht="18.75" customHeight="1" x14ac:dyDescent="0.15">
      <c r="A2" s="135" t="s">
        <v>126</v>
      </c>
      <c r="B2" s="927"/>
      <c r="C2" s="930"/>
      <c r="D2" s="123">
        <v>1</v>
      </c>
      <c r="E2" s="124">
        <f>D2+1</f>
        <v>2</v>
      </c>
      <c r="F2" s="124">
        <f t="shared" ref="F2:O2" si="0">E2+1</f>
        <v>3</v>
      </c>
      <c r="G2" s="124">
        <f t="shared" si="0"/>
        <v>4</v>
      </c>
      <c r="H2" s="179">
        <f t="shared" si="0"/>
        <v>5</v>
      </c>
      <c r="I2" s="179">
        <f t="shared" si="0"/>
        <v>6</v>
      </c>
      <c r="J2" s="179">
        <f t="shared" si="0"/>
        <v>7</v>
      </c>
      <c r="K2" s="138">
        <f t="shared" si="0"/>
        <v>8</v>
      </c>
      <c r="L2" s="124">
        <f t="shared" si="0"/>
        <v>9</v>
      </c>
      <c r="M2" s="124">
        <f t="shared" si="0"/>
        <v>10</v>
      </c>
      <c r="N2" s="124">
        <f t="shared" si="0"/>
        <v>11</v>
      </c>
      <c r="O2" s="124">
        <f t="shared" si="0"/>
        <v>12</v>
      </c>
      <c r="P2" s="133">
        <v>1</v>
      </c>
      <c r="Q2" s="124">
        <f t="shared" ref="Q2:Y2" si="1">P2+1</f>
        <v>2</v>
      </c>
      <c r="R2" s="124">
        <f t="shared" si="1"/>
        <v>3</v>
      </c>
      <c r="S2" s="124">
        <f>R2+1</f>
        <v>4</v>
      </c>
      <c r="T2" s="124">
        <f t="shared" si="1"/>
        <v>5</v>
      </c>
      <c r="U2" s="138">
        <f t="shared" si="1"/>
        <v>6</v>
      </c>
      <c r="V2" s="138">
        <f t="shared" si="1"/>
        <v>7</v>
      </c>
      <c r="W2" s="138">
        <f t="shared" si="1"/>
        <v>8</v>
      </c>
      <c r="X2" s="138">
        <f t="shared" si="1"/>
        <v>9</v>
      </c>
      <c r="Y2" s="139">
        <f t="shared" si="1"/>
        <v>10</v>
      </c>
      <c r="Z2" s="123">
        <v>1</v>
      </c>
      <c r="AA2" s="124">
        <v>2</v>
      </c>
      <c r="AB2" s="123">
        <v>1</v>
      </c>
      <c r="AC2" s="125">
        <v>2</v>
      </c>
      <c r="AD2" s="126">
        <v>3</v>
      </c>
      <c r="AE2" s="123">
        <v>1</v>
      </c>
      <c r="AF2" s="124">
        <f>AE2+1</f>
        <v>2</v>
      </c>
      <c r="AG2" s="124">
        <f t="shared" ref="AG2:AM2" si="2">AF2+1</f>
        <v>3</v>
      </c>
      <c r="AH2" s="142">
        <f t="shared" si="2"/>
        <v>4</v>
      </c>
      <c r="AI2" s="641">
        <f t="shared" si="2"/>
        <v>5</v>
      </c>
      <c r="AJ2" s="140">
        <f t="shared" si="2"/>
        <v>6</v>
      </c>
      <c r="AK2" s="623">
        <f t="shared" si="2"/>
        <v>7</v>
      </c>
      <c r="AL2" s="124">
        <f t="shared" si="2"/>
        <v>8</v>
      </c>
      <c r="AM2" s="141">
        <f t="shared" si="2"/>
        <v>9</v>
      </c>
      <c r="AN2" s="123" t="str">
        <f ca="1">IF(AN4="","",AN4)</f>
        <v/>
      </c>
      <c r="AO2" s="124" t="str">
        <f ca="1">IF(AO4&lt;&gt;"",CONCATENATE(AN2,IF(AN4&lt;&gt;"",CONCATENATE(CHAR(10),"+ "),""),AO4),AN2)</f>
        <v/>
      </c>
      <c r="AP2" s="124" t="str">
        <f t="shared" ref="AP2:AW2" ca="1" si="3">IF(AP4&lt;&gt;"",CONCATENATE(AO2,IF(AO4&lt;&gt;"",CONCATENATE(CHAR(10),"+ "),""),AP4),AO2)</f>
        <v/>
      </c>
      <c r="AQ2" s="124" t="str">
        <f t="shared" ca="1" si="3"/>
        <v/>
      </c>
      <c r="AR2" s="124" t="str">
        <f t="shared" ca="1" si="3"/>
        <v/>
      </c>
      <c r="AS2" s="124" t="str">
        <f t="shared" ca="1" si="3"/>
        <v/>
      </c>
      <c r="AT2" s="124" t="str">
        <f t="shared" ca="1" si="3"/>
        <v/>
      </c>
      <c r="AU2" s="125" t="str">
        <f t="shared" ca="1" si="3"/>
        <v/>
      </c>
      <c r="AV2" s="125" t="str">
        <f t="shared" ca="1" si="3"/>
        <v/>
      </c>
      <c r="AW2" s="125" t="str">
        <f t="shared" ca="1" si="3"/>
        <v/>
      </c>
      <c r="AX2" s="126" t="s">
        <v>134</v>
      </c>
    </row>
    <row r="3" spans="1:50" s="36" customFormat="1" ht="124.5" customHeight="1" thickBot="1" x14ac:dyDescent="0.25">
      <c r="A3" s="266" t="s">
        <v>195</v>
      </c>
      <c r="B3" s="928"/>
      <c r="C3" s="931"/>
      <c r="D3" s="172" t="s">
        <v>108</v>
      </c>
      <c r="E3" s="173" t="s">
        <v>118</v>
      </c>
      <c r="F3" s="173" t="s">
        <v>28</v>
      </c>
      <c r="G3" s="173" t="s">
        <v>107</v>
      </c>
      <c r="H3" s="174" t="s">
        <v>236</v>
      </c>
      <c r="I3" s="175"/>
      <c r="J3" s="176"/>
      <c r="K3" s="175"/>
      <c r="L3" s="173" t="s">
        <v>29</v>
      </c>
      <c r="M3" s="177" t="s">
        <v>119</v>
      </c>
      <c r="N3" s="177" t="s">
        <v>30</v>
      </c>
      <c r="O3" s="178" t="s">
        <v>120</v>
      </c>
      <c r="P3" s="134" t="s">
        <v>200</v>
      </c>
      <c r="Q3" s="129" t="s">
        <v>194</v>
      </c>
      <c r="R3" s="129" t="s">
        <v>193</v>
      </c>
      <c r="S3" s="129" t="s">
        <v>196</v>
      </c>
      <c r="T3" s="129" t="s">
        <v>197</v>
      </c>
      <c r="U3" s="136" t="s">
        <v>275</v>
      </c>
      <c r="V3" s="136"/>
      <c r="W3" s="136"/>
      <c r="X3" s="136"/>
      <c r="Y3" s="137"/>
      <c r="Z3" s="131" t="s">
        <v>198</v>
      </c>
      <c r="AA3" s="129" t="s">
        <v>199</v>
      </c>
      <c r="AB3" s="131" t="s">
        <v>201</v>
      </c>
      <c r="AC3" s="255" t="s">
        <v>202</v>
      </c>
      <c r="AD3" s="132" t="s">
        <v>184</v>
      </c>
      <c r="AE3" s="128" t="s">
        <v>250</v>
      </c>
      <c r="AF3" s="129" t="str">
        <f ca="1">CONCATENATE("emissiegrenswaarde ",CHAR(10),$A$1)</f>
        <v>emissiegrenswaarde 
Stof</v>
      </c>
      <c r="AG3" s="129" t="s">
        <v>165</v>
      </c>
      <c r="AH3" s="633" t="s">
        <v>356</v>
      </c>
      <c r="AI3" s="642" t="s">
        <v>358</v>
      </c>
      <c r="AJ3" s="282" t="s">
        <v>359</v>
      </c>
      <c r="AK3" s="624" t="s">
        <v>251</v>
      </c>
      <c r="AL3" s="130" t="s">
        <v>183</v>
      </c>
      <c r="AM3" s="652" t="s">
        <v>209</v>
      </c>
      <c r="AN3" s="850" t="s">
        <v>534</v>
      </c>
      <c r="AO3" s="127" t="s">
        <v>231</v>
      </c>
      <c r="AP3" s="265" t="s">
        <v>242</v>
      </c>
      <c r="AQ3" s="265" t="s">
        <v>131</v>
      </c>
      <c r="AR3" s="127" t="s">
        <v>133</v>
      </c>
      <c r="AS3" s="265" t="s">
        <v>360</v>
      </c>
      <c r="AT3" s="15"/>
      <c r="AU3" s="93"/>
      <c r="AV3" s="93"/>
      <c r="AW3" s="93"/>
      <c r="AX3" s="132"/>
    </row>
    <row r="4" spans="1:50" s="6" customFormat="1" ht="25.5" customHeight="1" x14ac:dyDescent="0.15">
      <c r="A4" s="180" t="s">
        <v>189</v>
      </c>
      <c r="B4" s="339">
        <f ca="1">IF(AND(SUM(D4:K4,L4:M4)=COUNT(D4:K4,L4:M4),COUNT(D4:K4,L4:M4)&gt;0),ROW(B4),0)</f>
        <v>0</v>
      </c>
      <c r="C4" s="249">
        <f ca="1">IF(AND(SUM(D4:K4,N4:O4)=COUNT(D4:K4,N4:O4),COUNT(D4:K4,N4:O4)&gt;0),ROW(B4),0)</f>
        <v>0</v>
      </c>
      <c r="D4" s="246">
        <f ca="1">IF(AND(OR($Z4="",INGVAN="",$Z4&lt;=INGVAN),OR($Z4="",INGTOT="",$Z4&lt;=INGTOT),OR($AA4="",INGVAN="",$AA4&gt;=INGVAN),OR($AA4="",INGTOT="",$AA4&gt;=INGTOT)),1,0)</f>
        <v>1</v>
      </c>
      <c r="E4" s="247">
        <f ca="1">IF(AND(OR($AB4="",Tdatum&gt;=$AB4,AND(AB4&lt;&gt;"",ISNUMBER(FIND("j",LOWER(AD4))))),OR($AC4="",Tdatum&lt;=$AC4)),1,0)</f>
        <v>1</v>
      </c>
      <c r="F4" s="247">
        <f t="shared" ref="F4" ca="1" si="4">IF(AND(OR($S4="",MW&gt;=$S4),OR($T4="",$T4&gt;MW)),1,0)</f>
        <v>1</v>
      </c>
      <c r="G4" s="243"/>
      <c r="H4" s="244"/>
      <c r="I4" s="245"/>
      <c r="J4" s="243"/>
      <c r="K4" s="245"/>
      <c r="L4" s="290"/>
      <c r="M4" s="248">
        <f t="shared" ref="M4" ca="1" si="5">IF(AND(ParBAL1&lt;&gt;"",ParBAL1=P4),1,0)</f>
        <v>0</v>
      </c>
      <c r="N4" s="290"/>
      <c r="O4" s="249">
        <f t="shared" ref="O4" ca="1" si="6">IF(AND(ParBAL2&lt;&gt;"",ParBAL2=P4),1,0)</f>
        <v>0</v>
      </c>
      <c r="P4" s="198"/>
      <c r="Q4" s="199"/>
      <c r="R4" s="199"/>
      <c r="S4" s="200"/>
      <c r="T4" s="200"/>
      <c r="U4" s="201"/>
      <c r="V4" s="201"/>
      <c r="W4" s="201"/>
      <c r="X4" s="201"/>
      <c r="Y4" s="202"/>
      <c r="Z4" s="203" t="str">
        <f ca="1">IF($C$6=0,Z5,IF($B$5&lt;$C$6,Z5,Z6))</f>
        <v/>
      </c>
      <c r="AA4" s="204"/>
      <c r="AB4" s="203"/>
      <c r="AC4" s="205"/>
      <c r="AD4" s="206"/>
      <c r="AE4" s="207"/>
      <c r="AF4" s="208" t="str">
        <f ca="1">IF(AND(AF5="",AF6=""),"",CONCATENATE(ROUND((100-IF(AF6="",0,ABRAND2))/100*IF(AF5="",0,AF5*(21-AG4)/(21-AG5))+IF(AF5="",100,ABRAND2)/100*IF(AF6="",0,AF6*(21-AG4)/(21-AG6)),0)," ",IF(A2="","",A2)," bij ",AG4," vol% O₂"))</f>
        <v/>
      </c>
      <c r="AG4" s="208">
        <f ca="1">NOx!AG4</f>
        <v>3</v>
      </c>
      <c r="AH4" s="634" t="str">
        <f ca="1">IF($C$6=0,AH5,IF($B$5=0,AH6,IF($B$5&lt;$C$6,AH5,AH6)))</f>
        <v/>
      </c>
      <c r="AI4" s="660"/>
      <c r="AJ4" s="208"/>
      <c r="AK4" s="697"/>
      <c r="AL4" s="208"/>
      <c r="AM4" s="634" t="str">
        <f ca="1">IF($C$6=0,AM5,IF($B$5=0,AM6,IF($B$5&lt;$C$6,AM5,AM6)))</f>
        <v/>
      </c>
      <c r="AN4" s="830"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49" t="str">
        <f t="shared" ref="AO4:AS4" ca="1" si="7">IF($C$6=0,AO5,IF($B$5=0,AO6,IF($B$5&lt;$C$6,AO5,AO6)))</f>
        <v/>
      </c>
      <c r="AP4" s="210" t="str">
        <f t="shared" ca="1" si="7"/>
        <v/>
      </c>
      <c r="AQ4" s="210" t="str">
        <f t="shared" ca="1" si="7"/>
        <v/>
      </c>
      <c r="AR4" s="211" t="str">
        <f t="shared" ca="1" si="7"/>
        <v/>
      </c>
      <c r="AS4" s="210" t="str">
        <f t="shared" ca="1" si="7"/>
        <v/>
      </c>
      <c r="AT4" s="210" t="str">
        <f t="shared" ref="AT4" ca="1" si="8">IF($C$6=0,AT5,IF($B$5=0,AT6,IF($B$5&lt;$C$6,AT5,AT6)))</f>
        <v/>
      </c>
      <c r="AU4" s="212"/>
      <c r="AV4" s="212"/>
      <c r="AW4" s="212"/>
      <c r="AX4" s="213" t="str">
        <f ca="1">AW2</f>
        <v/>
      </c>
    </row>
    <row r="5" spans="1:50" x14ac:dyDescent="0.2">
      <c r="A5" s="181" t="s">
        <v>29</v>
      </c>
      <c r="B5" s="192">
        <f ca="1">IF(Geldig,MAX(B8:B84),0)</f>
        <v>31</v>
      </c>
      <c r="C5" s="195"/>
      <c r="D5" s="192">
        <f t="shared" ref="D5:AF5" ca="1" si="9">IF($B$5=0,"",IF(INDEX(D$1:D$84,$B$5)="","",INDEX(D$1:D$84,$B$5)))</f>
        <v>1</v>
      </c>
      <c r="E5" s="193">
        <f t="shared" ca="1" si="9"/>
        <v>1</v>
      </c>
      <c r="F5" s="193">
        <f t="shared" ca="1" si="9"/>
        <v>1</v>
      </c>
      <c r="G5" s="193">
        <f t="shared" ca="1" si="9"/>
        <v>1</v>
      </c>
      <c r="H5" s="193" t="str">
        <f t="shared" ca="1" si="9"/>
        <v/>
      </c>
      <c r="I5" s="194" t="str">
        <f t="shared" ca="1" si="9"/>
        <v/>
      </c>
      <c r="J5" s="193" t="str">
        <f t="shared" ca="1" si="9"/>
        <v/>
      </c>
      <c r="K5" s="194" t="str">
        <f t="shared" ca="1" si="9"/>
        <v/>
      </c>
      <c r="L5" s="193">
        <f t="shared" ca="1" si="9"/>
        <v>1</v>
      </c>
      <c r="M5" s="194">
        <f t="shared" ca="1" si="9"/>
        <v>1</v>
      </c>
      <c r="N5" s="194">
        <f t="shared" ca="1" si="9"/>
        <v>0</v>
      </c>
      <c r="O5" s="195">
        <f t="shared" ca="1" si="9"/>
        <v>0</v>
      </c>
      <c r="P5" s="187" t="str">
        <f t="shared" ca="1" si="9"/>
        <v>4.126</v>
      </c>
      <c r="Q5" s="214" t="str">
        <f t="shared" ca="1" si="9"/>
        <v>ketel</v>
      </c>
      <c r="R5" s="214" t="str">
        <f t="shared" ca="1" si="9"/>
        <v>aardgas/waterstof</v>
      </c>
      <c r="S5" s="214">
        <f t="shared" ca="1" si="9"/>
        <v>0.40010000000000001</v>
      </c>
      <c r="T5" s="214" t="str">
        <f t="shared" ca="1" si="9"/>
        <v/>
      </c>
      <c r="U5" s="214" t="str">
        <f t="shared" ca="1" si="9"/>
        <v/>
      </c>
      <c r="V5" s="215" t="str">
        <f t="shared" ca="1" si="9"/>
        <v/>
      </c>
      <c r="W5" s="215" t="str">
        <f t="shared" ca="1" si="9"/>
        <v/>
      </c>
      <c r="X5" s="215" t="str">
        <f t="shared" ca="1" si="9"/>
        <v/>
      </c>
      <c r="Y5" s="216" t="str">
        <f t="shared" ca="1" si="9"/>
        <v/>
      </c>
      <c r="Z5" s="217" t="str">
        <f t="shared" ca="1" si="9"/>
        <v/>
      </c>
      <c r="AA5" s="218" t="str">
        <f t="shared" ca="1" si="9"/>
        <v/>
      </c>
      <c r="AB5" s="217" t="str">
        <f t="shared" ca="1" si="9"/>
        <v/>
      </c>
      <c r="AC5" s="219" t="str">
        <f t="shared" ca="1" si="9"/>
        <v/>
      </c>
      <c r="AD5" s="220" t="str">
        <f t="shared" ca="1" si="9"/>
        <v/>
      </c>
      <c r="AE5" s="221" t="str">
        <f t="shared" ca="1" si="9"/>
        <v>4.1303</v>
      </c>
      <c r="AF5" s="222" t="str">
        <f t="shared" ca="1" si="9"/>
        <v/>
      </c>
      <c r="AG5" s="223">
        <f ca="1">IF($B$5=0,"",IF(INDEX(AG$1:AG$84,$B$5)="",O2BRAND1,INDEX(AG$1:AG$84,$B$5)))</f>
        <v>3</v>
      </c>
      <c r="AH5" s="225" t="str">
        <f ca="1">IF($B$5=0,"",IF(INDEX(AH$1:AH$84,$B$5)="","",INDEX(AH$1:AH$84,$B$5)))</f>
        <v/>
      </c>
      <c r="AI5" s="661" t="str">
        <f ca="1">IF($B$5=0,"",IF(INDEX(AI$1:AI$84,$B$5)="","",INDEX(AI$1:AI$84,$B$5)))</f>
        <v/>
      </c>
      <c r="AJ5" s="218" t="str">
        <f ca="1">IF($B$5=0,"",IF(INDEX(AJ$1:AJ$84,$B$5)="","",INDEX(AJ$1:AJ$84,$B$5)))</f>
        <v/>
      </c>
      <c r="AK5" s="651" t="str">
        <f ca="1">IF($B$5=0,"",IF(INDEX(AK$1:AK$84,$B$5)="","",IF(AND(OR($AI5="",INGVAN="",$AI5&lt;=INGVAN),OR($AI5="",INGTOT="",$AI5&lt;=INGTOT),OR($AJ5="",INGVAN="",$AJ5&gt;=INGVAN),OR($AJ5="",INGTOT="",$AJ5&gt;=INGTOT)),INDEX(AK$1:AK$84,$B$5),"")))</f>
        <v/>
      </c>
      <c r="AL5" s="223" t="str">
        <f ca="1">IF($B$5=0,"",IF(INDEX(AL$1:AL$84,$B$5)="","",IF(AND(OR($AI5="",INGVAN="",$AI5&lt;=INGVAN),OR($AI5="",INGTOT="",$AI5&lt;=INGTOT),OR($AJ5="",INGVAN="",$AJ5&gt;=INGVAN),OR($AJ5="",INGTOT="",$AJ5&gt;=INGTOT)),INDEX(AL$1:AL$84,$B$5),"")))</f>
        <v/>
      </c>
      <c r="AM5" s="224" t="str">
        <f ca="1">IF($B$5=0,"",IF(INDEX(AM$1:AM$84,$B$5)="","",IF(AND(OR($AI5="",INGVAN="",$AI5&lt;=INGVAN),OR($AI5="",INGTOT="",$AI5&lt;=INGTOT),OR($AJ5="",INGVAN="",$AJ5&gt;=INGVAN),OR($AJ5="",INGTOT="",$AJ5&gt;=INGTOT)),INDEX(AM$1:AM$84,$B$5),"")))</f>
        <v/>
      </c>
      <c r="AN5" s="831"/>
      <c r="AO5" s="227" t="str">
        <f t="shared" ref="AO5:AW5" ca="1" si="10">IF($B$5=0,"",IF(INDEX(AO$1:AO$84,$B$5)="","",INDEX(AO$1:AO$84,$B$5)))</f>
        <v/>
      </c>
      <c r="AP5" s="227" t="str">
        <f t="shared" ca="1" si="10"/>
        <v/>
      </c>
      <c r="AQ5" s="227" t="str">
        <f t="shared" ca="1" si="10"/>
        <v/>
      </c>
      <c r="AR5" s="227" t="str">
        <f t="shared" ca="1" si="10"/>
        <v/>
      </c>
      <c r="AS5" s="227" t="str">
        <f t="shared" ca="1" si="10"/>
        <v/>
      </c>
      <c r="AT5" s="227" t="str">
        <f t="shared" ca="1" si="10"/>
        <v/>
      </c>
      <c r="AU5" s="227" t="str">
        <f t="shared" ca="1" si="10"/>
        <v/>
      </c>
      <c r="AV5" s="227" t="str">
        <f t="shared" ca="1" si="10"/>
        <v/>
      </c>
      <c r="AW5" s="227" t="str">
        <f t="shared" ca="1" si="10"/>
        <v/>
      </c>
      <c r="AX5" s="228"/>
    </row>
    <row r="6" spans="1:50" ht="12" thickBot="1" x14ac:dyDescent="0.25">
      <c r="A6" s="182" t="s">
        <v>30</v>
      </c>
      <c r="B6" s="190"/>
      <c r="C6" s="191">
        <f ca="1">MAX(C8:C84)</f>
        <v>0</v>
      </c>
      <c r="D6" s="196" t="str">
        <f t="shared" ref="D6:AF6" ca="1" si="11">IF($C$6=0,"",IF(INDEX(D$1:D$84,$C$6)="","",INDEX(D$1:D$84,$C$6)))</f>
        <v/>
      </c>
      <c r="E6" s="196" t="str">
        <f t="shared" ca="1" si="11"/>
        <v/>
      </c>
      <c r="F6" s="196" t="str">
        <f t="shared" ca="1" si="11"/>
        <v/>
      </c>
      <c r="G6" s="196" t="str">
        <f t="shared" ca="1" si="11"/>
        <v/>
      </c>
      <c r="H6" s="196" t="str">
        <f t="shared" ca="1" si="11"/>
        <v/>
      </c>
      <c r="I6" s="197" t="str">
        <f t="shared" ca="1" si="11"/>
        <v/>
      </c>
      <c r="J6" s="196" t="str">
        <f t="shared" ca="1" si="11"/>
        <v/>
      </c>
      <c r="K6" s="197" t="str">
        <f t="shared" ca="1" si="11"/>
        <v/>
      </c>
      <c r="L6" s="196" t="str">
        <f t="shared" ca="1" si="11"/>
        <v/>
      </c>
      <c r="M6" s="197" t="str">
        <f t="shared" ca="1" si="11"/>
        <v/>
      </c>
      <c r="N6" s="197" t="str">
        <f t="shared" ca="1" si="11"/>
        <v/>
      </c>
      <c r="O6" s="197" t="str">
        <f t="shared" ca="1" si="11"/>
        <v/>
      </c>
      <c r="P6" s="229" t="str">
        <f t="shared" ca="1" si="11"/>
        <v/>
      </c>
      <c r="Q6" s="230" t="str">
        <f t="shared" ca="1" si="11"/>
        <v/>
      </c>
      <c r="R6" s="230" t="str">
        <f t="shared" ca="1" si="11"/>
        <v/>
      </c>
      <c r="S6" s="230" t="str">
        <f t="shared" ca="1" si="11"/>
        <v/>
      </c>
      <c r="T6" s="230" t="str">
        <f t="shared" ca="1" si="11"/>
        <v/>
      </c>
      <c r="U6" s="230" t="str">
        <f t="shared" ca="1" si="11"/>
        <v/>
      </c>
      <c r="V6" s="231" t="str">
        <f t="shared" ca="1" si="11"/>
        <v/>
      </c>
      <c r="W6" s="231" t="str">
        <f t="shared" ca="1" si="11"/>
        <v/>
      </c>
      <c r="X6" s="231" t="str">
        <f t="shared" ca="1" si="11"/>
        <v/>
      </c>
      <c r="Y6" s="232" t="str">
        <f t="shared" ca="1" si="11"/>
        <v/>
      </c>
      <c r="Z6" s="233" t="str">
        <f t="shared" ca="1" si="11"/>
        <v/>
      </c>
      <c r="AA6" s="234" t="str">
        <f t="shared" ca="1" si="11"/>
        <v/>
      </c>
      <c r="AB6" s="233" t="str">
        <f t="shared" ca="1" si="11"/>
        <v/>
      </c>
      <c r="AC6" s="235" t="str">
        <f t="shared" ca="1" si="11"/>
        <v/>
      </c>
      <c r="AD6" s="236" t="str">
        <f t="shared" ca="1" si="11"/>
        <v/>
      </c>
      <c r="AE6" s="237" t="str">
        <f t="shared" ca="1" si="11"/>
        <v/>
      </c>
      <c r="AF6" s="196" t="str">
        <f t="shared" ca="1" si="11"/>
        <v/>
      </c>
      <c r="AG6" s="238" t="str">
        <f ca="1">IF($C$6=0,"",IF(INDEX(AG$1:AG$84,$C$6)="",O2BRAND2,INDEX(AG$1:AG$84,$C$6)))</f>
        <v/>
      </c>
      <c r="AH6" s="239" t="str">
        <f ca="1">IF($C$6=0,"",IF(INDEX(AH$1:AH$84,$C$6)="","",INDEX(AH$1:AH$84,$C$6)))</f>
        <v/>
      </c>
      <c r="AI6" s="662" t="str">
        <f ca="1">IF($C$6=0,"",IF(INDEX(AI$1:AI$84,$C$6)="","",INDEX(AI$1:AI$84,$C$6)))</f>
        <v/>
      </c>
      <c r="AJ6" s="234" t="str">
        <f ca="1">IF($C$6=0,"",IF(INDEX(AJ$1:AJ$84,$C$6)="","",INDEX(AJ$1:AJ$84,$C$6)))</f>
        <v/>
      </c>
      <c r="AK6" s="672" t="str">
        <f ca="1">IF($C$6=0,"",IF(INDEX(AK$1:AK$84,$C$6)="","",IF(AND(OR($AI6="",INGVAN="",$AI6&lt;=INGVAN),OR($AI6="",INGTOT="",$AI6&lt;=INGTOT),OR($AJ6="",INGVAN="",$AJ6&gt;=INGVAN),OR($AJ6="",INGTOT="",$AJ6&gt;=INGTOT)),INDEX(AK$1:AK$84,$C$6),"")))</f>
        <v/>
      </c>
      <c r="AL6" s="238" t="str">
        <f ca="1">IF($C$6=0,"",IF(INDEX(AL$1:AL$84,$C$6)="","",IF(AND(OR($AI6="",INGVAN="",$AI6&lt;=INGVAN),OR($AI6="",INGTOT="",$AI6&lt;=INGTOT),OR($AJ6="",INGVAN="",$AJ6&gt;=INGVAN),OR($AJ6="",INGTOT="",$AJ6&gt;=INGTOT)),INDEX(AL$1:AL$84,$C$6),"")))</f>
        <v/>
      </c>
      <c r="AM6" s="673" t="str">
        <f ca="1">IF($C$6=0,"",IF(INDEX(AM$1:AM$84,$C$6)="","",IF(AND(OR($AI6="",INGVAN="",$AI6&lt;=INGVAN),OR($AI6="",INGTOT="",$AI6&lt;=INGTOT),OR($AJ6="",INGVAN="",$AJ6&gt;=INGVAN),OR($AJ6="",INGTOT="",$AJ6&gt;=INGTOT)),INDEX(AM$1:AM$84,$C$6),"")))</f>
        <v/>
      </c>
      <c r="AN6" s="832"/>
      <c r="AO6" s="241" t="str">
        <f t="shared" ref="AO6:AW6" ca="1" si="12">IF($C$6=0,"",IF(INDEX(AO$1:AO$84,$C$6)="","",INDEX(AO$1:AO$84,$C$6)))</f>
        <v/>
      </c>
      <c r="AP6" s="241" t="str">
        <f t="shared" ca="1" si="12"/>
        <v/>
      </c>
      <c r="AQ6" s="241" t="str">
        <f t="shared" ca="1" si="12"/>
        <v/>
      </c>
      <c r="AR6" s="241" t="str">
        <f t="shared" ca="1" si="12"/>
        <v/>
      </c>
      <c r="AS6" s="241" t="str">
        <f t="shared" ca="1" si="12"/>
        <v/>
      </c>
      <c r="AT6" s="241" t="str">
        <f t="shared" ca="1" si="12"/>
        <v/>
      </c>
      <c r="AU6" s="241" t="str">
        <f t="shared" ca="1" si="12"/>
        <v/>
      </c>
      <c r="AV6" s="241" t="str">
        <f t="shared" ca="1" si="12"/>
        <v/>
      </c>
      <c r="AW6" s="241" t="str">
        <f t="shared" ca="1" si="12"/>
        <v/>
      </c>
      <c r="AX6" s="242"/>
    </row>
    <row r="7" spans="1:50" x14ac:dyDescent="0.2">
      <c r="A7" s="351" t="s">
        <v>295</v>
      </c>
      <c r="B7" s="352"/>
      <c r="C7" s="353"/>
      <c r="D7" s="354"/>
      <c r="E7" s="355"/>
      <c r="F7" s="355"/>
      <c r="G7" s="356"/>
      <c r="H7" s="356"/>
      <c r="I7" s="357"/>
      <c r="J7" s="356"/>
      <c r="K7" s="357"/>
      <c r="L7" s="356"/>
      <c r="M7" s="358"/>
      <c r="N7" s="356"/>
      <c r="O7" s="359"/>
      <c r="P7" s="360"/>
      <c r="Q7" s="361"/>
      <c r="R7" s="362"/>
      <c r="S7" s="362"/>
      <c r="T7" s="362"/>
      <c r="U7" s="384"/>
      <c r="V7" s="384"/>
      <c r="W7" s="384"/>
      <c r="X7" s="384"/>
      <c r="Y7" s="385"/>
      <c r="Z7" s="386"/>
      <c r="AA7" s="387"/>
      <c r="AB7" s="386"/>
      <c r="AC7" s="388"/>
      <c r="AD7" s="389"/>
      <c r="AE7" s="390"/>
      <c r="AF7" s="391"/>
      <c r="AG7" s="356"/>
      <c r="AH7" s="635"/>
      <c r="AI7" s="644"/>
      <c r="AJ7" s="392"/>
      <c r="AK7" s="625"/>
      <c r="AL7" s="356"/>
      <c r="AM7" s="654"/>
      <c r="AN7" s="833"/>
      <c r="AO7" s="323" t="s">
        <v>243</v>
      </c>
      <c r="AP7" s="323" t="s">
        <v>244</v>
      </c>
      <c r="AQ7" s="323" t="s">
        <v>391</v>
      </c>
      <c r="AR7" s="323" t="s">
        <v>192</v>
      </c>
      <c r="AS7" s="323"/>
      <c r="AT7" s="320"/>
      <c r="AU7" s="321"/>
      <c r="AV7" s="321"/>
      <c r="AW7" s="321"/>
      <c r="AX7" s="319"/>
    </row>
    <row r="8" spans="1:50" x14ac:dyDescent="0.2">
      <c r="A8" s="295"/>
      <c r="B8" s="339">
        <f t="shared" ref="B8:B13" ca="1" si="13">IF(AND(SUM(D8:K8,L8:M8)=COUNT(D8:K8,L8:M8),COUNT(D8:K8,L8:M8)&gt;0),ROW(B8),0)</f>
        <v>0</v>
      </c>
      <c r="C8" s="249">
        <f t="shared" ref="C8:C13" ca="1" si="14">IF(AND(SUM(D8:K8,N8:O8)=COUNT(D8:K8,N8:O8),COUNT(D8:K8,N8:O8)&gt;0),ROW(B8),0)</f>
        <v>0</v>
      </c>
      <c r="D8" s="246">
        <f ca="1">IF(AND(OR($Z8="",INGVAN="",$Z8&lt;=INGVAN),OR($Z8="",INGTOT="",$Z8&lt;=INGTOT),OR($AA8="",INGVAN="",$AA8&gt;=INGVAN),OR($AA8="",INGTOT="",$AA8&gt;=INGTOT)),1,0)</f>
        <v>1</v>
      </c>
      <c r="E8" s="247">
        <f t="shared" ref="E8:E17" ca="1" si="15">IF(AND(OR($AB8="",Tdatum&gt;=$AB8,AND(AB8&lt;&gt;"",ISNUMBER(FIND("j",LOWER(AD8))))),OR($AC8="",Tdatum&lt;=$AC8)),1,0)</f>
        <v>1</v>
      </c>
      <c r="F8" s="247">
        <f t="shared" ref="F8:F77" ca="1" si="16">IF(AND(OR($S8="",MW&gt;=$S8),OR($T8="",$T8&gt;MW)),1,0)</f>
        <v>1</v>
      </c>
      <c r="G8" s="147">
        <f ca="1">IF(Afvalvernietiging,1,0)</f>
        <v>0</v>
      </c>
      <c r="H8" s="147"/>
      <c r="I8" s="147"/>
      <c r="J8" s="147"/>
      <c r="K8" s="148"/>
      <c r="L8" s="147">
        <f ca="1">IF(OR(TBRAND1=3,AND(G8=1,N8=0)),1,0)</f>
        <v>0</v>
      </c>
      <c r="M8" s="248">
        <f t="shared" ref="M8" ca="1" si="17">IF(AND(ParBAL1&lt;&gt;"",ParBAL1=P8),1,0)</f>
        <v>0</v>
      </c>
      <c r="N8" s="147">
        <f ca="1">IF(TBRAND2=3,1,0)</f>
        <v>0</v>
      </c>
      <c r="O8" s="249">
        <f t="shared" ref="O8" ca="1" si="18">IF(AND(ParBAL2&lt;&gt;"",ParBAL2=P8),1,0)</f>
        <v>0</v>
      </c>
      <c r="P8" s="279" t="s">
        <v>39</v>
      </c>
      <c r="Q8" s="149" t="s">
        <v>48</v>
      </c>
      <c r="R8" s="149" t="s">
        <v>265</v>
      </c>
      <c r="S8" s="149"/>
      <c r="T8" s="149"/>
      <c r="U8" s="150"/>
      <c r="V8" s="150"/>
      <c r="W8" s="150"/>
      <c r="X8" s="150"/>
      <c r="Y8" s="151"/>
      <c r="Z8" s="143"/>
      <c r="AA8" s="144"/>
      <c r="AB8" s="143"/>
      <c r="AC8" s="145"/>
      <c r="AD8" s="146"/>
      <c r="AE8" s="276" t="s">
        <v>121</v>
      </c>
      <c r="AF8" s="152" t="s">
        <v>389</v>
      </c>
      <c r="AG8" s="147"/>
      <c r="AH8" s="636"/>
      <c r="AI8" s="645"/>
      <c r="AJ8" s="269"/>
      <c r="AK8" s="626"/>
      <c r="AL8" s="147"/>
      <c r="AM8" s="655"/>
      <c r="AN8" s="834"/>
      <c r="AO8" s="325" t="str">
        <f>AO$7</f>
        <v xml:space="preserve">Er geldt een continue meetverplichting (art 4.79). </v>
      </c>
      <c r="AP8" s="325" t="str">
        <f t="shared" ref="AP8:AR13" si="19">AP$7</f>
        <v>De kwaliteitsborging van het continue meetsysteem vindt plaats volgen NEN-EN 14181 (art. 4.78). Onder de voorwaarden van art. 4.81 3e lid zijn halfjaarlijkse periodieke metingen door een geaccrediteerd laboratorium volgens NEN-EN 14792 toegestaan (art. 4.78 en 4.84).</v>
      </c>
      <c r="AQ8" s="325" t="str">
        <f t="shared" si="19"/>
        <v>De aangetoonde meetonzekerheid mag niet groter zijn dan 30% van de emissie-eis of 1,5 mg/Nm3 (art. 4.88).</v>
      </c>
      <c r="AR8"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25"/>
      <c r="AT8" s="149"/>
      <c r="AU8" s="150"/>
      <c r="AV8" s="150"/>
      <c r="AW8" s="150"/>
      <c r="AX8" s="151"/>
    </row>
    <row r="9" spans="1:50" x14ac:dyDescent="0.2">
      <c r="A9" s="295"/>
      <c r="B9" s="339">
        <f t="shared" ca="1" si="13"/>
        <v>0</v>
      </c>
      <c r="C9" s="249">
        <f t="shared" ca="1" si="14"/>
        <v>0</v>
      </c>
      <c r="D9" s="246">
        <f ca="1">IF(AND(OR($Z9="",INGVAN="",$Z9&lt;=INGVAN),OR($Z9="",INGTOT="",$Z9&lt;=INGTOT),OR($AA9="",INGVAN="",$AA9&gt;=INGVAN),OR($AA9="",INGTOT="",$AA9&gt;=INGTOT)),1,0)</f>
        <v>1</v>
      </c>
      <c r="E9" s="247">
        <f t="shared" ca="1" si="15"/>
        <v>1</v>
      </c>
      <c r="F9" s="247">
        <f t="shared" ca="1" si="16"/>
        <v>1</v>
      </c>
      <c r="G9" s="147">
        <f ca="1">IF(EnergieUitAfval,1,0)</f>
        <v>0</v>
      </c>
      <c r="H9" s="147"/>
      <c r="I9" s="147"/>
      <c r="J9" s="147"/>
      <c r="K9" s="148"/>
      <c r="L9" s="147">
        <f ca="1">IF(TBRAND1=3,1,0)</f>
        <v>0</v>
      </c>
      <c r="M9" s="248">
        <f t="shared" ref="M9:M17" ca="1" si="20">IF(AND(ParBAL1&lt;&gt;"",ParBAL1=P9),1,0)</f>
        <v>0</v>
      </c>
      <c r="N9" s="147">
        <f ca="1">IF(TBRAND2=3,1,0)</f>
        <v>0</v>
      </c>
      <c r="O9" s="249">
        <f t="shared" ref="O9:O17" ca="1" si="21">IF(AND(ParBAL2&lt;&gt;"",ParBAL2=P9),1,0)</f>
        <v>0</v>
      </c>
      <c r="P9" s="279" t="s">
        <v>39</v>
      </c>
      <c r="Q9" s="149" t="s">
        <v>266</v>
      </c>
      <c r="R9" s="149" t="s">
        <v>46</v>
      </c>
      <c r="S9" s="149"/>
      <c r="T9" s="149"/>
      <c r="U9" s="150"/>
      <c r="V9" s="150"/>
      <c r="W9" s="150"/>
      <c r="X9" s="150"/>
      <c r="Y9" s="151"/>
      <c r="Z9" s="143"/>
      <c r="AA9" s="144"/>
      <c r="AB9" s="143"/>
      <c r="AC9" s="145"/>
      <c r="AD9" s="146"/>
      <c r="AE9" s="276" t="s">
        <v>121</v>
      </c>
      <c r="AF9" s="152" t="s">
        <v>389</v>
      </c>
      <c r="AG9" s="147"/>
      <c r="AH9" s="636"/>
      <c r="AI9" s="645"/>
      <c r="AJ9" s="269"/>
      <c r="AK9" s="626"/>
      <c r="AL9" s="147"/>
      <c r="AM9" s="655"/>
      <c r="AN9" s="834"/>
      <c r="AO9" s="325" t="str">
        <f t="shared" ref="AO9:AO13" si="22">AO$7</f>
        <v xml:space="preserve">Er geldt een continue meetverplichting (art 4.79). </v>
      </c>
      <c r="AP9" s="325" t="str">
        <f t="shared" si="19"/>
        <v>De kwaliteitsborging van het continue meetsysteem vindt plaats volgen NEN-EN 14181 (art. 4.78). Onder de voorwaarden van art. 4.81 3e lid zijn halfjaarlijkse periodieke metingen door een geaccrediteerd laboratorium volgens NEN-EN 14792 toegestaan (art. 4.78 en 4.84).</v>
      </c>
      <c r="AQ9" s="325" t="str">
        <f t="shared" si="19"/>
        <v>De aangetoonde meetonzekerheid mag niet groter zijn dan 30% van de emissie-eis of 1,5 mg/Nm3 (art. 4.88).</v>
      </c>
      <c r="AR9" s="325" t="s">
        <v>451</v>
      </c>
      <c r="AS9" s="325"/>
      <c r="AT9" s="155"/>
      <c r="AU9" s="157"/>
      <c r="AV9" s="157"/>
      <c r="AW9" s="157"/>
      <c r="AX9" s="158"/>
    </row>
    <row r="10" spans="1:50" x14ac:dyDescent="0.2">
      <c r="A10" s="295"/>
      <c r="B10" s="339">
        <f t="shared" ca="1" si="13"/>
        <v>0</v>
      </c>
      <c r="C10" s="249">
        <f t="shared" ca="1" si="14"/>
        <v>0</v>
      </c>
      <c r="D10" s="246">
        <f ca="1">IF(AND(OR($Z10="",INGVAN="",$Z10&lt;=INGVAN),OR($Z10="",INGTOT="",$Z10&lt;=INGTOT),OR($AA10="",INGVAN="",$AA10&gt;=INGVAN),OR($AA10="",INGTOT="",$AA10&gt;=INGTOT)),1,0)</f>
        <v>1</v>
      </c>
      <c r="E10" s="247">
        <f t="shared" ca="1" si="15"/>
        <v>1</v>
      </c>
      <c r="F10" s="247">
        <f t="shared" ca="1" si="16"/>
        <v>1</v>
      </c>
      <c r="G10" s="147">
        <f ca="1">IF(SI=17,1,0)</f>
        <v>0</v>
      </c>
      <c r="H10" s="148"/>
      <c r="I10" s="147"/>
      <c r="J10" s="159"/>
      <c r="K10" s="148"/>
      <c r="L10" s="147">
        <f ca="1">IF(TBRAND1=3,1,0)</f>
        <v>0</v>
      </c>
      <c r="M10" s="248">
        <f t="shared" ca="1" si="20"/>
        <v>0</v>
      </c>
      <c r="N10" s="147">
        <f ca="1">IF(TBRAND2=3,1,0)</f>
        <v>0</v>
      </c>
      <c r="O10" s="249">
        <f t="shared" ca="1" si="21"/>
        <v>0</v>
      </c>
      <c r="P10" s="279" t="s">
        <v>39</v>
      </c>
      <c r="Q10" s="160" t="s">
        <v>128</v>
      </c>
      <c r="R10" s="149"/>
      <c r="S10" s="149"/>
      <c r="T10" s="149"/>
      <c r="U10" s="150"/>
      <c r="V10" s="150"/>
      <c r="W10" s="150"/>
      <c r="X10" s="150"/>
      <c r="Y10" s="151"/>
      <c r="Z10" s="143"/>
      <c r="AA10" s="144"/>
      <c r="AB10" s="143"/>
      <c r="AC10" s="145"/>
      <c r="AD10" s="146"/>
      <c r="AE10" s="276" t="s">
        <v>130</v>
      </c>
      <c r="AF10" s="152" t="s">
        <v>386</v>
      </c>
      <c r="AG10" s="147"/>
      <c r="AH10" s="636"/>
      <c r="AI10" s="645"/>
      <c r="AJ10" s="269"/>
      <c r="AK10" s="626"/>
      <c r="AL10" s="147"/>
      <c r="AM10" s="655"/>
      <c r="AN10" s="834"/>
      <c r="AO10" s="325" t="str">
        <f t="shared" si="22"/>
        <v xml:space="preserve">Er geldt een continue meetverplichting (art 4.79). </v>
      </c>
      <c r="AP10" s="325" t="str">
        <f t="shared" si="19"/>
        <v>De kwaliteitsborging van het continue meetsysteem vindt plaats volgen NEN-EN 14181 (art. 4.78). Onder de voorwaarden van art. 4.81 3e lid zijn halfjaarlijkse periodieke metingen door een geaccrediteerd laboratorium volgens NEN-EN 14792 toegestaan (art. 4.78 en 4.84).</v>
      </c>
      <c r="AQ10" s="325" t="str">
        <f t="shared" si="19"/>
        <v>De aangetoonde meetonzekerheid mag niet groter zijn dan 30% van de emissie-eis of 1,5 mg/Nm3 (art. 4.88).</v>
      </c>
      <c r="AR10"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25"/>
      <c r="AT10" s="155"/>
      <c r="AU10" s="157"/>
      <c r="AV10" s="157"/>
      <c r="AW10" s="157"/>
      <c r="AX10" s="151"/>
    </row>
    <row r="11" spans="1:50" x14ac:dyDescent="0.2">
      <c r="A11" s="295"/>
      <c r="B11" s="340"/>
      <c r="C11" s="341"/>
      <c r="D11" s="326"/>
      <c r="E11" s="46"/>
      <c r="F11" s="46"/>
      <c r="G11" s="147"/>
      <c r="H11" s="147"/>
      <c r="I11" s="148"/>
      <c r="J11" s="147"/>
      <c r="K11" s="148"/>
      <c r="L11" s="147"/>
      <c r="M11" s="56"/>
      <c r="N11" s="147"/>
      <c r="O11" s="59"/>
      <c r="P11" s="279"/>
      <c r="Q11" s="160"/>
      <c r="R11" s="149"/>
      <c r="S11" s="149"/>
      <c r="T11" s="149"/>
      <c r="U11" s="150"/>
      <c r="V11" s="150"/>
      <c r="W11" s="150"/>
      <c r="X11" s="150"/>
      <c r="Y11" s="151"/>
      <c r="Z11" s="143"/>
      <c r="AA11" s="144"/>
      <c r="AB11" s="143"/>
      <c r="AC11" s="145"/>
      <c r="AD11" s="146"/>
      <c r="AE11" s="276"/>
      <c r="AF11" s="152"/>
      <c r="AG11" s="147"/>
      <c r="AH11" s="636"/>
      <c r="AI11" s="645"/>
      <c r="AJ11" s="269"/>
      <c r="AK11" s="626"/>
      <c r="AL11" s="147"/>
      <c r="AM11" s="655"/>
      <c r="AN11" s="835"/>
      <c r="AO11" s="155"/>
      <c r="AP11" s="155"/>
      <c r="AQ11" s="155"/>
      <c r="AR11" s="155"/>
      <c r="AS11" s="149"/>
      <c r="AT11" s="155"/>
      <c r="AU11" s="157"/>
      <c r="AV11" s="157"/>
      <c r="AW11" s="157"/>
      <c r="AX11" s="151"/>
    </row>
    <row r="12" spans="1:50" x14ac:dyDescent="0.2">
      <c r="A12" s="363" t="s">
        <v>337</v>
      </c>
      <c r="B12" s="364"/>
      <c r="C12" s="365"/>
      <c r="D12" s="366"/>
      <c r="E12" s="367"/>
      <c r="F12" s="367"/>
      <c r="G12" s="368"/>
      <c r="H12" s="368"/>
      <c r="I12" s="369"/>
      <c r="J12" s="368"/>
      <c r="K12" s="369"/>
      <c r="L12" s="368"/>
      <c r="M12" s="370"/>
      <c r="N12" s="368"/>
      <c r="O12" s="371"/>
      <c r="P12" s="372"/>
      <c r="Q12" s="373"/>
      <c r="R12" s="374"/>
      <c r="S12" s="374"/>
      <c r="T12" s="374"/>
      <c r="U12" s="375"/>
      <c r="V12" s="375"/>
      <c r="W12" s="375"/>
      <c r="X12" s="375"/>
      <c r="Y12" s="376"/>
      <c r="Z12" s="377"/>
      <c r="AA12" s="378"/>
      <c r="AB12" s="377"/>
      <c r="AC12" s="379"/>
      <c r="AD12" s="380"/>
      <c r="AE12" s="381"/>
      <c r="AF12" s="382"/>
      <c r="AG12" s="368"/>
      <c r="AH12" s="637"/>
      <c r="AI12" s="646"/>
      <c r="AJ12" s="383"/>
      <c r="AK12" s="627"/>
      <c r="AL12" s="368"/>
      <c r="AM12" s="656"/>
      <c r="AN12" s="836"/>
      <c r="AO12" s="346" t="s">
        <v>243</v>
      </c>
      <c r="AP12" s="346" t="s">
        <v>244</v>
      </c>
      <c r="AQ12" s="346" t="s">
        <v>132</v>
      </c>
      <c r="AR12" s="346" t="s">
        <v>192</v>
      </c>
      <c r="AS12" s="346"/>
      <c r="AT12" s="336"/>
      <c r="AU12" s="337"/>
      <c r="AV12" s="337"/>
      <c r="AW12" s="337"/>
      <c r="AX12" s="335"/>
    </row>
    <row r="13" spans="1:50" x14ac:dyDescent="0.2">
      <c r="A13" s="296"/>
      <c r="B13" s="339">
        <f t="shared" ca="1" si="13"/>
        <v>0</v>
      </c>
      <c r="C13" s="249">
        <f t="shared" ca="1" si="14"/>
        <v>0</v>
      </c>
      <c r="D13" s="246">
        <f ca="1">IF(AND(OR($Z13="",INGVAN="",$Z13&lt;=INGVAN),OR($Z13="",INGTOT="",$Z13&lt;=INGTOT),OR($AA13="",INGVAN="",$AA13&gt;=INGVAN),OR($AA13="",INGTOT="",$AA13&gt;=INGTOT)),1,0)</f>
        <v>1</v>
      </c>
      <c r="E13" s="247">
        <f t="shared" ca="1" si="15"/>
        <v>0</v>
      </c>
      <c r="F13" s="247">
        <f t="shared" ca="1" si="16"/>
        <v>1</v>
      </c>
      <c r="G13" s="147">
        <f ca="1">IF(AND(SI&lt;&gt;17,OR(ParBAL1="4.4",ParBAL2="4.4")),1,0)</f>
        <v>0</v>
      </c>
      <c r="H13" s="147"/>
      <c r="I13" s="148"/>
      <c r="J13" s="147"/>
      <c r="K13" s="148"/>
      <c r="L13" s="147">
        <f ca="1">IF(OR(TBRAND1=3,AND(G13=1,N13=0)),1,0)</f>
        <v>0</v>
      </c>
      <c r="M13" s="248">
        <f t="shared" ref="M13" ca="1" si="23">IF(AND(ParBAL1&lt;&gt;"",ParBAL1=P13),1,0)</f>
        <v>0</v>
      </c>
      <c r="N13" s="147">
        <f ca="1">IF(TBRAND2=3,1,0)</f>
        <v>0</v>
      </c>
      <c r="O13" s="249">
        <f t="shared" ref="O13" ca="1" si="24">IF(AND(ParBAL2&lt;&gt;"",ParBAL2=P13),1,0)</f>
        <v>0</v>
      </c>
      <c r="P13" s="291" t="s">
        <v>39</v>
      </c>
      <c r="Q13" s="160" t="s">
        <v>267</v>
      </c>
      <c r="R13" s="149"/>
      <c r="S13" s="149"/>
      <c r="T13" s="149"/>
      <c r="U13" s="150"/>
      <c r="V13" s="150"/>
      <c r="W13" s="150"/>
      <c r="X13" s="150"/>
      <c r="Y13" s="151"/>
      <c r="Z13" s="143"/>
      <c r="AA13" s="144">
        <f>IWTBAL-1</f>
        <v>45291</v>
      </c>
      <c r="AB13" s="143"/>
      <c r="AC13" s="145">
        <v>45241</v>
      </c>
      <c r="AD13" s="146"/>
      <c r="AE13" s="276" t="s">
        <v>124</v>
      </c>
      <c r="AF13" s="152" t="s">
        <v>372</v>
      </c>
      <c r="AG13" s="147"/>
      <c r="AH13" s="636"/>
      <c r="AI13" s="645"/>
      <c r="AJ13" s="269"/>
      <c r="AK13" s="626"/>
      <c r="AL13" s="147"/>
      <c r="AM13" s="655"/>
      <c r="AN13" s="834"/>
      <c r="AO13" s="325" t="str">
        <f t="shared" si="22"/>
        <v xml:space="preserve">Er geldt een continue meetverplichting (art 4.79). </v>
      </c>
      <c r="AP13" s="325" t="str">
        <f t="shared" si="19"/>
        <v>De kwaliteitsborging van het continue meetsysteem vindt plaats volgen NEN-EN 14181 (art. 4.78). Onder de voorwaarden van art. 4.81 3e lid zijn halfjaarlijkse periodieke metingen door een geaccrediteerd laboratorium volgens NEN-EN 14792 toegestaan (art. 4.78 en 4.84).</v>
      </c>
      <c r="AQ13" s="325" t="str">
        <f t="shared" si="19"/>
        <v>De aangetoonde meetonzekerheid mag niet groter zijn dan 30% van de emissie-eis of 1,5 mg/Nm3 (art. 4.88).</v>
      </c>
      <c r="AR13" s="325" t="str">
        <f t="shared" si="19"/>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25"/>
      <c r="AT13" s="155"/>
      <c r="AU13" s="157"/>
      <c r="AV13" s="157"/>
      <c r="AW13" s="157"/>
      <c r="AX13" s="151"/>
    </row>
    <row r="14" spans="1:50" x14ac:dyDescent="0.2">
      <c r="A14" s="584"/>
      <c r="B14" s="585"/>
      <c r="C14" s="586"/>
      <c r="D14" s="587"/>
      <c r="E14" s="588"/>
      <c r="F14" s="588"/>
      <c r="G14" s="589"/>
      <c r="H14" s="589"/>
      <c r="I14" s="590"/>
      <c r="J14" s="589"/>
      <c r="K14" s="590"/>
      <c r="L14" s="589"/>
      <c r="M14" s="591"/>
      <c r="N14" s="589"/>
      <c r="O14" s="592"/>
      <c r="P14" s="593"/>
      <c r="Q14" s="594"/>
      <c r="R14" s="595"/>
      <c r="S14" s="595"/>
      <c r="T14" s="595"/>
      <c r="U14" s="596"/>
      <c r="V14" s="596"/>
      <c r="W14" s="596"/>
      <c r="X14" s="596"/>
      <c r="Y14" s="597"/>
      <c r="Z14" s="598"/>
      <c r="AA14" s="599"/>
      <c r="AB14" s="598"/>
      <c r="AC14" s="600"/>
      <c r="AD14" s="601"/>
      <c r="AE14" s="602"/>
      <c r="AF14" s="603"/>
      <c r="AG14" s="589"/>
      <c r="AH14" s="638"/>
      <c r="AI14" s="647"/>
      <c r="AJ14" s="604"/>
      <c r="AK14" s="628"/>
      <c r="AL14" s="589"/>
      <c r="AM14" s="657"/>
      <c r="AN14" s="837"/>
      <c r="AO14" s="606"/>
      <c r="AP14" s="606"/>
      <c r="AQ14" s="606"/>
      <c r="AR14" s="606"/>
      <c r="AS14" s="595"/>
      <c r="AT14" s="606"/>
      <c r="AU14" s="607"/>
      <c r="AV14" s="607"/>
      <c r="AW14" s="607"/>
      <c r="AX14" s="597"/>
    </row>
    <row r="15" spans="1:50" x14ac:dyDescent="0.2">
      <c r="A15" s="393" t="s">
        <v>294</v>
      </c>
      <c r="B15" s="394"/>
      <c r="C15" s="395"/>
      <c r="D15" s="396"/>
      <c r="E15" s="397"/>
      <c r="F15" s="397"/>
      <c r="G15" s="398"/>
      <c r="H15" s="398"/>
      <c r="I15" s="399"/>
      <c r="J15" s="398"/>
      <c r="K15" s="399"/>
      <c r="L15" s="398"/>
      <c r="M15" s="400"/>
      <c r="N15" s="398"/>
      <c r="O15" s="401"/>
      <c r="P15" s="402"/>
      <c r="Q15" s="403"/>
      <c r="R15" s="404"/>
      <c r="S15" s="404"/>
      <c r="T15" s="404"/>
      <c r="U15" s="405"/>
      <c r="V15" s="405"/>
      <c r="W15" s="405"/>
      <c r="X15" s="405"/>
      <c r="Y15" s="406"/>
      <c r="Z15" s="407"/>
      <c r="AA15" s="408"/>
      <c r="AB15" s="407"/>
      <c r="AC15" s="409"/>
      <c r="AD15" s="410"/>
      <c r="AE15" s="411"/>
      <c r="AF15" s="412"/>
      <c r="AG15" s="398"/>
      <c r="AH15" s="639"/>
      <c r="AI15" s="648"/>
      <c r="AJ15" s="413"/>
      <c r="AK15" s="629"/>
      <c r="AL15" s="398"/>
      <c r="AM15" s="658"/>
      <c r="AN15" s="838"/>
      <c r="AO15" s="333" t="str">
        <f ca="1">IF(AND(BRAND1&lt;=2,OR(ABRAND2=0,BRAND2&lt;=2)),"Op grond van artikel 4.41 3e lid geldt er een halfjaarlijkse periodieke meetverplichting. ","Er geldt een continue meetverplichting (art 4.41).")</f>
        <v xml:space="preserve">Op grond van artikel 4.41 3e lid geldt er een halfjaarlijkse periodieke meetverplichting. </v>
      </c>
      <c r="AP15" s="333" t="str">
        <f ca="1">IF(AND(BRAND1&lt;=2,OR(ABRAND2=0,BRAND2&lt;=2)),"Een periodieke meting bestaat uit drie deelmetingen van ten minste 30 minuten. De metingen worden uitgevoerd door een geaccrediteerd laboratorium volgens NEN-EN 13284-1 (art. 4.40 en 4.48). ","De kwaliteitsborging van het continue meetsysteem vindt plaats volgens NEN-EN 14181 (art. 4.40).")</f>
        <v xml:space="preserve">Een periodieke meting bestaat uit drie deelmetingen van ten minste 30 minuten. De metingen worden uitgevoerd door een geaccrediteerd laboratorium volgens NEN-EN 13284-1 (art. 4.40 en 4.48). </v>
      </c>
      <c r="AQ15" s="333" t="s">
        <v>502</v>
      </c>
      <c r="AR15" s="333" t="str">
        <f ca="1">IF(AND(BRAND1&lt;=2,OR(ABRAND2=0,BRAND2&lt;=2)),CONCATENATE("De installatie voldoet aan de gestelde emissie-eis als alle gevalideerde meetresultaten van de deelmetingen lager zijn dan de emissie-eis (art. 4.44)."," Een gevalideerd meetresultaat is het meetresultaat nadat de aangetoonde meetonzekerheid in mindering is gebracht."),CONCATENATE("De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f>
        <v>De installatie voldoet aan de gestelde emissie-eis als alle gevalideerde meetresultaten van de deelmetingen lager zijn dan de emissie-eis (art. 4.44). Een gevalideerd meetresultaat is het meetresultaat nadat de aangetoonde meetonzekerheid in mindering is gebracht.</v>
      </c>
      <c r="AS15" s="346" t="str">
        <f ca="1">IF(AND(MW&lt;100,NOT(AND(BRAND1&lt;=2,OR(ABRAND2=0,BRAND2&lt;=2)))),"Onder de voorwaarden van art. 4.41 2e lid zijn halfjaarlijkse periodieke metingen door een geaccrediteerd laboratorium volgens NEN-EN 13284-1 toegestaan (art. 4.40 en 4.48).","")</f>
        <v/>
      </c>
      <c r="AT15" s="330"/>
      <c r="AU15" s="331"/>
      <c r="AV15" s="331"/>
      <c r="AW15" s="331"/>
      <c r="AX15" s="328"/>
    </row>
    <row r="16" spans="1:50" x14ac:dyDescent="0.2">
      <c r="A16" s="295"/>
      <c r="B16" s="339">
        <f t="shared" ref="B16:B17" ca="1" si="25">IF(AND(SUM(D16:K16,L16:M16)=COUNT(D16:K16,L16:M16),COUNT(D16:K16,L16:M16)&gt;0),ROW(B16),0)</f>
        <v>0</v>
      </c>
      <c r="C16" s="249">
        <f t="shared" ref="C16:C17" ca="1" si="26">IF(AND(SUM(D16:K16,N16:O16)=COUNT(D16:K16,N16:O16),COUNT(D16:K16,N16:O16)&gt;0),ROW(B16),0)</f>
        <v>0</v>
      </c>
      <c r="D16" s="246">
        <f t="shared" ref="D16:D17" ca="1" si="27">IF(AND(OR($Z16="",INGVAN="",$Z16&lt;=INGVAN),OR($Z16="",INGTOT="",$Z16&lt;=INGTOT),OR($AA16="",INGVAN="",$AA16&gt;=INGVAN),OR($AA16="",INGTOT="",$AA16&gt;=INGTOT)),1,0)</f>
        <v>0</v>
      </c>
      <c r="E16" s="247">
        <f t="shared" ca="1" si="15"/>
        <v>1</v>
      </c>
      <c r="F16" s="247">
        <f t="shared" ca="1" si="16"/>
        <v>1</v>
      </c>
      <c r="G16" s="147">
        <f ca="1">IF(TSI&lt;3,1,0)</f>
        <v>1</v>
      </c>
      <c r="H16" s="147"/>
      <c r="I16" s="148"/>
      <c r="J16" s="147"/>
      <c r="K16" s="148"/>
      <c r="L16" s="147">
        <f ca="1">IF(BRAND1=19,1,0)</f>
        <v>0</v>
      </c>
      <c r="M16" s="248">
        <f t="shared" ca="1" si="20"/>
        <v>0</v>
      </c>
      <c r="N16" s="147">
        <f ca="1">IF(BRAND2=19,1,0)</f>
        <v>0</v>
      </c>
      <c r="O16" s="249">
        <f t="shared" ca="1" si="21"/>
        <v>0</v>
      </c>
      <c r="P16" s="279" t="s">
        <v>40</v>
      </c>
      <c r="Q16" s="160" t="s">
        <v>392</v>
      </c>
      <c r="R16" s="149" t="s">
        <v>170</v>
      </c>
      <c r="S16" s="149"/>
      <c r="T16" s="149"/>
      <c r="U16" s="150"/>
      <c r="V16" s="150"/>
      <c r="W16" s="150"/>
      <c r="X16" s="150"/>
      <c r="Y16" s="151"/>
      <c r="Z16" s="143"/>
      <c r="AA16" s="144">
        <v>36463</v>
      </c>
      <c r="AB16" s="143"/>
      <c r="AC16" s="145"/>
      <c r="AD16" s="146"/>
      <c r="AE16" s="276" t="s">
        <v>496</v>
      </c>
      <c r="AF16" s="152" t="s">
        <v>393</v>
      </c>
      <c r="AG16" s="147"/>
      <c r="AH16" s="636"/>
      <c r="AI16" s="645"/>
      <c r="AJ16" s="269"/>
      <c r="AK16" s="626"/>
      <c r="AL16" s="147"/>
      <c r="AM16" s="655"/>
      <c r="AN16" s="834"/>
      <c r="AO16" s="325" t="str">
        <f ca="1">AO$15</f>
        <v xml:space="preserve">Op grond van artikel 4.41 3e lid geldt er een halfjaarlijkse periodieke meetverplichting. </v>
      </c>
      <c r="AP16" s="325" t="str">
        <f t="shared" ref="AP16:AS17" ca="1" si="28">AP$15</f>
        <v xml:space="preserve">Een periodieke meting bestaat uit drie deelmetingen van ten minste 30 minuten. De metingen worden uitgevoerd door een geaccrediteerd laboratorium volgens NEN-EN 13284-1 (art. 4.40 en 4.48). </v>
      </c>
      <c r="AQ16" s="325" t="str">
        <f t="shared" si="28"/>
        <v>De aangetoonde meetonzekerheid mag niet groter zijn dan 30% van de emissie-eis (art. 4.48).</v>
      </c>
      <c r="AR16" s="325" t="str">
        <f t="shared" ca="1" si="28"/>
        <v>De installatie voldoet aan de gestelde emissie-eis als alle gevalideerde meetresultaten van de deelmetingen lager zijn dan de emissie-eis (art. 4.44). Een gevalideerd meetresultaat is het meetresultaat nadat de aangetoonde meetonzekerheid in mindering is gebracht.</v>
      </c>
      <c r="AS16" s="325" t="str">
        <f t="shared" ca="1" si="28"/>
        <v/>
      </c>
      <c r="AT16" s="149"/>
      <c r="AU16" s="150"/>
      <c r="AV16" s="150"/>
      <c r="AW16" s="150"/>
      <c r="AX16" s="151"/>
    </row>
    <row r="17" spans="1:50" x14ac:dyDescent="0.2">
      <c r="A17" s="295"/>
      <c r="B17" s="339">
        <f t="shared" ca="1" si="25"/>
        <v>0</v>
      </c>
      <c r="C17" s="249">
        <f t="shared" ca="1" si="26"/>
        <v>0</v>
      </c>
      <c r="D17" s="246">
        <f t="shared" ca="1" si="27"/>
        <v>1</v>
      </c>
      <c r="E17" s="247">
        <f t="shared" ca="1" si="15"/>
        <v>1</v>
      </c>
      <c r="F17" s="247">
        <f t="shared" ca="1" si="16"/>
        <v>1</v>
      </c>
      <c r="G17" s="147">
        <f ca="1">IF(TSI&lt;3,1,0)</f>
        <v>1</v>
      </c>
      <c r="H17" s="147"/>
      <c r="I17" s="148"/>
      <c r="J17" s="147"/>
      <c r="K17" s="148"/>
      <c r="L17" s="147">
        <f ca="1">IF(B16&lt;&gt;0,0,1)</f>
        <v>1</v>
      </c>
      <c r="M17" s="248">
        <f t="shared" ca="1" si="20"/>
        <v>0</v>
      </c>
      <c r="N17" s="147">
        <f ca="1">IF(C16&lt;&gt;0,0,1)</f>
        <v>1</v>
      </c>
      <c r="O17" s="249">
        <f t="shared" ca="1" si="21"/>
        <v>0</v>
      </c>
      <c r="P17" s="279" t="s">
        <v>40</v>
      </c>
      <c r="Q17" s="160" t="s">
        <v>394</v>
      </c>
      <c r="R17" s="149"/>
      <c r="S17" s="149"/>
      <c r="T17" s="149"/>
      <c r="U17" s="150"/>
      <c r="V17" s="150"/>
      <c r="W17" s="150"/>
      <c r="X17" s="150"/>
      <c r="Y17" s="151"/>
      <c r="Z17" s="143"/>
      <c r="AA17" s="144"/>
      <c r="AB17" s="143"/>
      <c r="AC17" s="145"/>
      <c r="AD17" s="146"/>
      <c r="AE17" s="276" t="s">
        <v>496</v>
      </c>
      <c r="AF17" s="152" t="s">
        <v>372</v>
      </c>
      <c r="AG17" s="147"/>
      <c r="AH17" s="636"/>
      <c r="AI17" s="645"/>
      <c r="AJ17" s="269"/>
      <c r="AK17" s="626"/>
      <c r="AL17" s="147"/>
      <c r="AM17" s="655"/>
      <c r="AN17" s="839"/>
      <c r="AO17" s="348" t="str">
        <f t="shared" ref="AO17" ca="1" si="29">AO$15</f>
        <v xml:space="preserve">Op grond van artikel 4.41 3e lid geldt er een halfjaarlijkse periodieke meetverplichting. </v>
      </c>
      <c r="AP17" s="325" t="str">
        <f t="shared" ca="1" si="28"/>
        <v xml:space="preserve">Een periodieke meting bestaat uit drie deelmetingen van ten minste 30 minuten. De metingen worden uitgevoerd door een geaccrediteerd laboratorium volgens NEN-EN 13284-1 (art. 4.40 en 4.48). </v>
      </c>
      <c r="AQ17" s="325" t="str">
        <f t="shared" si="28"/>
        <v>De aangetoonde meetonzekerheid mag niet groter zijn dan 30% van de emissie-eis (art. 4.48).</v>
      </c>
      <c r="AR17" s="348" t="str">
        <f t="shared" ca="1" si="28"/>
        <v>De installatie voldoet aan de gestelde emissie-eis als alle gevalideerde meetresultaten van de deelmetingen lager zijn dan de emissie-eis (art. 4.44). Een gevalideerd meetresultaat is het meetresultaat nadat de aangetoonde meetonzekerheid in mindering is gebracht.</v>
      </c>
      <c r="AS17" s="348" t="str">
        <f t="shared" ca="1" si="28"/>
        <v/>
      </c>
      <c r="AT17" s="149"/>
      <c r="AU17" s="150"/>
      <c r="AV17" s="150"/>
      <c r="AW17" s="150"/>
      <c r="AX17" s="151"/>
    </row>
    <row r="18" spans="1:50" x14ac:dyDescent="0.2">
      <c r="A18" s="295"/>
      <c r="B18" s="340"/>
      <c r="C18" s="341"/>
      <c r="D18" s="326"/>
      <c r="E18" s="46"/>
      <c r="F18" s="46"/>
      <c r="G18" s="147"/>
      <c r="H18" s="147"/>
      <c r="I18" s="148"/>
      <c r="J18" s="147"/>
      <c r="K18" s="148"/>
      <c r="L18" s="147"/>
      <c r="M18" s="56"/>
      <c r="N18" s="147"/>
      <c r="O18" s="59"/>
      <c r="P18" s="279"/>
      <c r="Q18" s="160"/>
      <c r="R18" s="149"/>
      <c r="S18" s="149"/>
      <c r="T18" s="149"/>
      <c r="U18" s="150"/>
      <c r="V18" s="150"/>
      <c r="W18" s="150"/>
      <c r="X18" s="150"/>
      <c r="Y18" s="151"/>
      <c r="Z18" s="143"/>
      <c r="AA18" s="144"/>
      <c r="AB18" s="143"/>
      <c r="AC18" s="145"/>
      <c r="AD18" s="146"/>
      <c r="AE18" s="276"/>
      <c r="AF18" s="152"/>
      <c r="AG18" s="147"/>
      <c r="AH18" s="636"/>
      <c r="AI18" s="645"/>
      <c r="AJ18" s="269"/>
      <c r="AK18" s="626"/>
      <c r="AL18" s="147"/>
      <c r="AM18" s="655"/>
      <c r="AN18" s="835"/>
      <c r="AO18" s="155"/>
      <c r="AP18" s="155"/>
      <c r="AQ18" s="155"/>
      <c r="AR18" s="155"/>
      <c r="AS18" s="149"/>
      <c r="AT18" s="155"/>
      <c r="AU18" s="157"/>
      <c r="AV18" s="157"/>
      <c r="AW18" s="157"/>
      <c r="AX18" s="151"/>
    </row>
    <row r="19" spans="1:50" x14ac:dyDescent="0.2">
      <c r="A19" s="363" t="s">
        <v>338</v>
      </c>
      <c r="B19" s="364"/>
      <c r="C19" s="365"/>
      <c r="D19" s="366"/>
      <c r="E19" s="367"/>
      <c r="F19" s="367"/>
      <c r="G19" s="368"/>
      <c r="H19" s="368"/>
      <c r="I19" s="369"/>
      <c r="J19" s="368"/>
      <c r="K19" s="369"/>
      <c r="L19" s="368"/>
      <c r="M19" s="370"/>
      <c r="N19" s="368"/>
      <c r="O19" s="371"/>
      <c r="P19" s="372"/>
      <c r="Q19" s="373"/>
      <c r="R19" s="374"/>
      <c r="S19" s="374"/>
      <c r="T19" s="374"/>
      <c r="U19" s="375"/>
      <c r="V19" s="375"/>
      <c r="W19" s="375"/>
      <c r="X19" s="375"/>
      <c r="Y19" s="376"/>
      <c r="Z19" s="377"/>
      <c r="AA19" s="378"/>
      <c r="AB19" s="377"/>
      <c r="AC19" s="379"/>
      <c r="AD19" s="380"/>
      <c r="AE19" s="381"/>
      <c r="AF19" s="382"/>
      <c r="AG19" s="368"/>
      <c r="AH19" s="637"/>
      <c r="AI19" s="646"/>
      <c r="AJ19" s="383"/>
      <c r="AK19" s="627"/>
      <c r="AL19" s="368"/>
      <c r="AM19" s="656"/>
      <c r="AN19" s="836"/>
      <c r="AO19" s="346" t="s">
        <v>245</v>
      </c>
      <c r="AP19" s="346" t="s">
        <v>384</v>
      </c>
      <c r="AQ19" s="346" t="s">
        <v>191</v>
      </c>
      <c r="AR19" s="346" t="s">
        <v>212</v>
      </c>
      <c r="AS19" s="346" t="str">
        <f ca="1">IF(MW&lt;100,"Onder de voorwaarden van art. 4.41 2e lid zijn halfjaarlijkse periodieke metingen door een geaccrediteerd laboratorium volgens NEN-EN 13284 toegestaan (art. 4.40 en 4.48).","")</f>
        <v>Onder de voorwaarden van art. 4.41 2e lid zijn halfjaarlijkse periodieke metingen door een geaccrediteerd laboratorium volgens NEN-EN 13284 toegestaan (art. 4.40 en 4.48).</v>
      </c>
      <c r="AT19" s="336"/>
      <c r="AU19" s="337"/>
      <c r="AV19" s="337"/>
      <c r="AW19" s="337"/>
      <c r="AX19" s="335"/>
    </row>
    <row r="20" spans="1:50" x14ac:dyDescent="0.2">
      <c r="A20" s="584"/>
      <c r="B20" s="585"/>
      <c r="C20" s="586"/>
      <c r="D20" s="587"/>
      <c r="E20" s="588"/>
      <c r="F20" s="588"/>
      <c r="G20" s="589"/>
      <c r="H20" s="589"/>
      <c r="I20" s="590"/>
      <c r="J20" s="589"/>
      <c r="K20" s="590"/>
      <c r="L20" s="589"/>
      <c r="M20" s="591"/>
      <c r="N20" s="589"/>
      <c r="O20" s="592"/>
      <c r="P20" s="593"/>
      <c r="Q20" s="594"/>
      <c r="R20" s="595"/>
      <c r="S20" s="595"/>
      <c r="T20" s="595"/>
      <c r="U20" s="596"/>
      <c r="V20" s="596"/>
      <c r="W20" s="596"/>
      <c r="X20" s="596"/>
      <c r="Y20" s="597"/>
      <c r="Z20" s="598"/>
      <c r="AA20" s="599"/>
      <c r="AB20" s="598"/>
      <c r="AC20" s="600"/>
      <c r="AD20" s="601"/>
      <c r="AE20" s="602"/>
      <c r="AF20" s="603"/>
      <c r="AG20" s="589"/>
      <c r="AH20" s="638"/>
      <c r="AI20" s="647"/>
      <c r="AJ20" s="604"/>
      <c r="AK20" s="628"/>
      <c r="AL20" s="589"/>
      <c r="AM20" s="657"/>
      <c r="AN20" s="837"/>
      <c r="AO20" s="606"/>
      <c r="AP20" s="606"/>
      <c r="AQ20" s="606"/>
      <c r="AR20" s="606"/>
      <c r="AS20" s="595"/>
      <c r="AT20" s="606"/>
      <c r="AU20" s="607"/>
      <c r="AV20" s="607"/>
      <c r="AW20" s="607"/>
      <c r="AX20" s="597"/>
    </row>
    <row r="21" spans="1:50" x14ac:dyDescent="0.2">
      <c r="A21" s="393" t="s">
        <v>293</v>
      </c>
      <c r="B21" s="394"/>
      <c r="C21" s="395"/>
      <c r="D21" s="396"/>
      <c r="E21" s="397"/>
      <c r="F21" s="397"/>
      <c r="G21" s="398"/>
      <c r="H21" s="398"/>
      <c r="I21" s="399"/>
      <c r="J21" s="398"/>
      <c r="K21" s="399"/>
      <c r="L21" s="398"/>
      <c r="M21" s="400"/>
      <c r="N21" s="398"/>
      <c r="O21" s="401"/>
      <c r="P21" s="402"/>
      <c r="Q21" s="403"/>
      <c r="R21" s="404"/>
      <c r="S21" s="404"/>
      <c r="T21" s="404"/>
      <c r="U21" s="405"/>
      <c r="V21" s="405"/>
      <c r="W21" s="405"/>
      <c r="X21" s="405"/>
      <c r="Y21" s="406"/>
      <c r="Z21" s="407"/>
      <c r="AA21" s="408"/>
      <c r="AB21" s="407"/>
      <c r="AC21" s="409"/>
      <c r="AD21" s="410"/>
      <c r="AE21" s="411"/>
      <c r="AF21" s="412"/>
      <c r="AG21" s="398"/>
      <c r="AH21" s="639"/>
      <c r="AI21" s="648"/>
      <c r="AJ21" s="413"/>
      <c r="AK21" s="629"/>
      <c r="AL21" s="398"/>
      <c r="AM21" s="658"/>
      <c r="AN21" s="838"/>
      <c r="AO21" s="333" t="str">
        <f ca="1">CONCATENATE("Bij van toepassing worden van een emissie-eis wordt een periodieke meting uitgevoerd",IF(OR(MW&lt;1,Offshore),IF(TSI&lt;0," en vervolgens vierjaarlijks",""),IF(MW&gt;20," en vervolgens jaarlijks"," en vervolgens driejaarlijks"))," (art. 4.1314). ",IF(OR(MW&lt;1,INGVAN&gt;=IWTMCP),"",CONCATENATE("Tot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lid",IF(AND(MW&lt;1,INGTOT&lt;IWTBAL)," en 4.1330a.","."))</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1" s="333" t="str">
        <f ca="1">CONCATENATE("Een periodieke meting bestaat uit drie deelmetingen van 15-30 minuten. De metingen mogen worden uitgevoerd door een geaccrediteerd laboratorium volgens NEN-EN 13284-1",IF(MW&lt;1," of door een SCIOS gecertificeerd bedrijf volgens scope 6",""),"(art. 4.1312).")</f>
        <v>Een periodieke meting bestaat uit drie deelmetingen van 15-30 minuten. De metingen mogen worden uitgevoerd door een geaccrediteerd laboratorium volgens NEN-EN 13284-1(art. 4.1312).</v>
      </c>
      <c r="AQ21" s="333" t="str">
        <f ca="1">CONCATENATE("De aangetoonde meetonzekerheid mag niet groter zijn dan 30% van de emissie-eis",IF(MW&lt;1,"(of 40% bij periodieke metingen)","")," (art. 4.1312 en art. 4.1319).")</f>
        <v>De aangetoonde meetonzekerheid mag niet groter zijn dan 30% van de emissie-eis (art. 4.1312 en art. 4.1319).</v>
      </c>
      <c r="AR21" s="333" t="s">
        <v>247</v>
      </c>
      <c r="AS21" s="327"/>
      <c r="AT21" s="330"/>
      <c r="AU21" s="331"/>
      <c r="AV21" s="331"/>
      <c r="AW21" s="331"/>
      <c r="AX21" s="328"/>
    </row>
    <row r="22" spans="1:50" x14ac:dyDescent="0.2">
      <c r="A22" s="295"/>
      <c r="B22" s="339">
        <f t="shared" ref="B22:B47" ca="1" si="30">IF(AND(SUM(D22:K22,L22:M22)=COUNT(D22:K22,L22:M22),COUNT(D22:K22,L22:M22)&gt;0),ROW(B22),0)</f>
        <v>0</v>
      </c>
      <c r="C22" s="249">
        <f t="shared" ref="C22:C47" ca="1" si="31">IF(AND(SUM(D22:K22,N22:O22)=COUNT(D22:K22,N22:O22),COUNT(D22:K22,N22:O22)&gt;0),ROW(B22),0)</f>
        <v>0</v>
      </c>
      <c r="D22" s="246">
        <f t="shared" ref="D22:D47" ca="1" si="32">IF(AND(OR($Z22="",INGVAN="",$Z22&lt;=INGVAN),OR($Z22="",INGTOT="",$Z22&lt;=INGTOT),OR($AA22="",INGVAN="",$AA22&gt;=INGVAN),OR($AA22="",INGTOT="",$AA22&gt;=INGTOT)),1,0)</f>
        <v>1</v>
      </c>
      <c r="E22" s="247">
        <f t="shared" ref="E22:E70" ca="1" si="33">IF(AND(OR($AB22="",Tdatum&gt;=$AB22,AND(AB22&lt;&gt;"",ISNUMBER(FIND("j",LOWER(AD22))))),OR($AC22="",Tdatum&lt;=$AC22)),1,0)</f>
        <v>1</v>
      </c>
      <c r="F22" s="247">
        <f t="shared" ca="1" si="16"/>
        <v>1</v>
      </c>
      <c r="G22" s="147">
        <f ca="1">IF(SI=8,1,0)</f>
        <v>0</v>
      </c>
      <c r="H22" s="147"/>
      <c r="I22" s="148"/>
      <c r="J22" s="147"/>
      <c r="K22" s="148"/>
      <c r="L22" s="147"/>
      <c r="M22" s="248">
        <f t="shared" ref="M22:M47" ca="1" si="34">IF(AND(ParBAL1&lt;&gt;"",ParBAL1=P22),1,0)</f>
        <v>1</v>
      </c>
      <c r="N22" s="147"/>
      <c r="O22" s="249">
        <f t="shared" ref="O22:O47" ca="1" si="35">IF(AND(ParBAL2&lt;&gt;"",ParBAL2=P22),1,0)</f>
        <v>0</v>
      </c>
      <c r="P22" s="44" t="s">
        <v>106</v>
      </c>
      <c r="Q22" s="149" t="s">
        <v>229</v>
      </c>
      <c r="R22" s="149" t="s">
        <v>222</v>
      </c>
      <c r="S22" s="275"/>
      <c r="T22" s="149"/>
      <c r="U22" s="150"/>
      <c r="V22" s="150"/>
      <c r="W22" s="150"/>
      <c r="X22" s="150"/>
      <c r="Y22" s="151"/>
      <c r="Z22" s="143"/>
      <c r="AA22" s="144"/>
      <c r="AB22" s="143"/>
      <c r="AC22" s="145"/>
      <c r="AD22" s="146"/>
      <c r="AE22" s="276" t="s">
        <v>230</v>
      </c>
      <c r="AF22" s="152"/>
      <c r="AG22" s="153"/>
      <c r="AH22" s="636"/>
      <c r="AI22" s="645"/>
      <c r="AJ22" s="269"/>
      <c r="AK22" s="630"/>
      <c r="AL22" s="153"/>
      <c r="AM22" s="655"/>
      <c r="AN22" s="834"/>
      <c r="AO22" s="325" t="str">
        <f>IF($AF22="","",AO$21)</f>
        <v/>
      </c>
      <c r="AP22" s="325" t="str">
        <f t="shared" ref="AP22:AR47" si="36">IF($AF22="","",AP$21)</f>
        <v/>
      </c>
      <c r="AQ22" s="325" t="str">
        <f t="shared" si="36"/>
        <v/>
      </c>
      <c r="AR22" s="349" t="str">
        <f t="shared" si="36"/>
        <v/>
      </c>
      <c r="AS22" s="149"/>
      <c r="AT22" s="149"/>
      <c r="AU22" s="150"/>
      <c r="AV22" s="150"/>
      <c r="AW22" s="150"/>
      <c r="AX22" s="158"/>
    </row>
    <row r="23" spans="1:50" x14ac:dyDescent="0.2">
      <c r="A23" s="295"/>
      <c r="B23" s="339">
        <f t="shared" ca="1" si="30"/>
        <v>0</v>
      </c>
      <c r="C23" s="249">
        <f t="shared" ca="1" si="31"/>
        <v>0</v>
      </c>
      <c r="D23" s="246">
        <f t="shared" ca="1" si="32"/>
        <v>1</v>
      </c>
      <c r="E23" s="247">
        <f t="shared" ca="1" si="33"/>
        <v>1</v>
      </c>
      <c r="F23" s="247">
        <f t="shared" ca="1" si="16"/>
        <v>0</v>
      </c>
      <c r="G23" s="147">
        <f t="shared" ref="G23:G32" ca="1" si="37">IF(SI&lt;=2,1,0)</f>
        <v>1</v>
      </c>
      <c r="H23" s="147"/>
      <c r="I23" s="148"/>
      <c r="J23" s="147"/>
      <c r="K23" s="148"/>
      <c r="L23" s="147">
        <f ca="1">IF(OR(BRAND1=6,BRAND1=7),1,0)</f>
        <v>0</v>
      </c>
      <c r="M23" s="248">
        <f t="shared" ca="1" si="34"/>
        <v>1</v>
      </c>
      <c r="N23" s="147">
        <f ca="1">IF(OR(BRAND2=6,BRAND2=7),1,0)</f>
        <v>0</v>
      </c>
      <c r="O23" s="249">
        <f t="shared" ca="1" si="35"/>
        <v>0</v>
      </c>
      <c r="P23" s="44" t="s">
        <v>106</v>
      </c>
      <c r="Q23" s="149" t="s">
        <v>204</v>
      </c>
      <c r="R23" s="149" t="s">
        <v>208</v>
      </c>
      <c r="S23" s="275">
        <v>0.40010000000000001</v>
      </c>
      <c r="T23" s="149">
        <v>1</v>
      </c>
      <c r="U23" s="150"/>
      <c r="V23" s="150"/>
      <c r="W23" s="150"/>
      <c r="X23" s="150"/>
      <c r="Y23" s="151"/>
      <c r="Z23" s="143"/>
      <c r="AA23" s="144"/>
      <c r="AB23" s="143"/>
      <c r="AC23" s="145"/>
      <c r="AD23" s="146"/>
      <c r="AE23" s="276" t="s">
        <v>205</v>
      </c>
      <c r="AF23" s="152" t="s">
        <v>393</v>
      </c>
      <c r="AG23" s="153"/>
      <c r="AH23" s="636" t="str">
        <f ca="1">IF(AND(MW&lt;1,INGTOT&lt;=SCPbest)," geldt vanaf een ingrijpende wijziging (art. 4.1332 3e lid)","")</f>
        <v/>
      </c>
      <c r="AI23" s="645"/>
      <c r="AJ23" s="269"/>
      <c r="AK23" s="630"/>
      <c r="AL23" s="153"/>
      <c r="AM23" s="655"/>
      <c r="AN23" s="834"/>
      <c r="AO23" s="325" t="str">
        <f t="shared" ref="AO23:AO47" ca="1" si="38">IF($AF23="","",AO$21)</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3" s="325" t="str">
        <f t="shared" ca="1" si="36"/>
        <v>Een periodieke meting bestaat uit drie deelmetingen van 15-30 minuten. De metingen mogen worden uitgevoerd door een geaccrediteerd laboratorium volgens NEN-EN 13284-1(art. 4.1312).</v>
      </c>
      <c r="AQ23" s="325" t="str">
        <f t="shared" ca="1" si="36"/>
        <v>De aangetoonde meetonzekerheid mag niet groter zijn dan 30% van de emissie-eis (art. 4.1312 en art. 4.1319).</v>
      </c>
      <c r="AR23"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3" s="149"/>
      <c r="AT23" s="149"/>
      <c r="AU23" s="150"/>
      <c r="AV23" s="150"/>
      <c r="AW23" s="150"/>
      <c r="AX23" s="151"/>
    </row>
    <row r="24" spans="1:50" x14ac:dyDescent="0.2">
      <c r="A24" s="295"/>
      <c r="B24" s="339">
        <f t="shared" ref="B24" ca="1" si="39">IF(AND(SUM(D24:K24,L24:M24)=COUNT(D24:K24,L24:M24),COUNT(D24:K24,L24:M24)&gt;0),ROW(B24),0)</f>
        <v>0</v>
      </c>
      <c r="C24" s="249">
        <f t="shared" ref="C24" ca="1" si="40">IF(AND(SUM(D24:K24,N24:O24)=COUNT(D24:K24,N24:O24),COUNT(D24:K24,N24:O24)&gt;0),ROW(B24),0)</f>
        <v>0</v>
      </c>
      <c r="D24" s="246">
        <f t="shared" ca="1" si="32"/>
        <v>1</v>
      </c>
      <c r="E24" s="247">
        <f t="shared" ref="E24" ca="1" si="41">IF(AND(OR($AB24="",Tdatum&gt;=$AB24,AND(AB24&lt;&gt;"",ISNUMBER(FIND("j",LOWER(AD24))))),OR($AC24="",Tdatum&lt;=$AC24)),1,0)</f>
        <v>1</v>
      </c>
      <c r="F24" s="247">
        <f t="shared" ca="1" si="16"/>
        <v>1</v>
      </c>
      <c r="G24" s="147">
        <f t="shared" ca="1" si="37"/>
        <v>1</v>
      </c>
      <c r="H24" s="147"/>
      <c r="I24" s="148"/>
      <c r="J24" s="147"/>
      <c r="K24" s="148"/>
      <c r="L24" s="147">
        <f ca="1">IF(OR(BRAND1=6,BRAND1=7),1,0)</f>
        <v>0</v>
      </c>
      <c r="M24" s="248">
        <f t="shared" ref="M24" ca="1" si="42">IF(AND(ParBAL1&lt;&gt;"",ParBAL1=P24),1,0)</f>
        <v>1</v>
      </c>
      <c r="N24" s="147">
        <f ca="1">IF(OR(BRAND2=6,BRAND2=7),1,0)</f>
        <v>0</v>
      </c>
      <c r="O24" s="249">
        <f t="shared" ref="O24" ca="1" si="43">IF(AND(ParBAL2&lt;&gt;"",ParBAL2=P24),1,0)</f>
        <v>0</v>
      </c>
      <c r="P24" s="44" t="s">
        <v>106</v>
      </c>
      <c r="Q24" s="149" t="s">
        <v>204</v>
      </c>
      <c r="R24" s="149" t="s">
        <v>208</v>
      </c>
      <c r="S24" s="275">
        <v>1</v>
      </c>
      <c r="T24" s="149"/>
      <c r="U24" s="150"/>
      <c r="V24" s="150"/>
      <c r="W24" s="150"/>
      <c r="X24" s="150"/>
      <c r="Y24" s="151"/>
      <c r="Z24" s="143"/>
      <c r="AA24" s="144"/>
      <c r="AB24" s="143"/>
      <c r="AC24" s="145"/>
      <c r="AD24" s="146"/>
      <c r="AE24" s="276" t="s">
        <v>205</v>
      </c>
      <c r="AF24" s="152" t="s">
        <v>372</v>
      </c>
      <c r="AG24" s="153"/>
      <c r="AH24" s="636" t="str">
        <f ca="1">IF(AND(MW&lt;1,INGTOT&lt;=SCPbest)," geldt vanaf een ingrijpende wijziging (art. 4.1332 3e lid)","")</f>
        <v/>
      </c>
      <c r="AI24" s="645"/>
      <c r="AJ24" s="269"/>
      <c r="AK24" s="630"/>
      <c r="AL24" s="153"/>
      <c r="AM24" s="655"/>
      <c r="AN24" s="834"/>
      <c r="AO24" s="325" t="str">
        <f t="shared" ca="1" si="38"/>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4" s="325" t="str">
        <f t="shared" ca="1" si="36"/>
        <v>Een periodieke meting bestaat uit drie deelmetingen van 15-30 minuten. De metingen mogen worden uitgevoerd door een geaccrediteerd laboratorium volgens NEN-EN 13284-1(art. 4.1312).</v>
      </c>
      <c r="AQ24" s="325" t="str">
        <f t="shared" ca="1" si="36"/>
        <v>De aangetoonde meetonzekerheid mag niet groter zijn dan 30% van de emissie-eis (art. 4.1312 en art. 4.1319).</v>
      </c>
      <c r="AR24"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4" s="149"/>
      <c r="AT24" s="149"/>
      <c r="AU24" s="150"/>
      <c r="AV24" s="150"/>
      <c r="AW24" s="150"/>
      <c r="AX24" s="151"/>
    </row>
    <row r="25" spans="1:50" x14ac:dyDescent="0.2">
      <c r="A25" s="295"/>
      <c r="B25" s="339">
        <f t="shared" ca="1" si="30"/>
        <v>0</v>
      </c>
      <c r="C25" s="249">
        <f t="shared" ca="1" si="31"/>
        <v>0</v>
      </c>
      <c r="D25" s="246">
        <f t="shared" ca="1" si="32"/>
        <v>1</v>
      </c>
      <c r="E25" s="247">
        <f t="shared" ca="1" si="33"/>
        <v>1</v>
      </c>
      <c r="F25" s="247">
        <f t="shared" ca="1" si="16"/>
        <v>0</v>
      </c>
      <c r="G25" s="147">
        <f t="shared" ca="1" si="37"/>
        <v>1</v>
      </c>
      <c r="H25" s="147"/>
      <c r="I25" s="148"/>
      <c r="J25" s="147"/>
      <c r="K25" s="148"/>
      <c r="L25" s="147">
        <f ca="1">IF(AND(BRAND1&gt;=8,BRAND1&lt;=10),1,0)</f>
        <v>0</v>
      </c>
      <c r="M25" s="248">
        <f t="shared" ca="1" si="34"/>
        <v>1</v>
      </c>
      <c r="N25" s="147">
        <f ca="1">IF(AND(BRAND2&gt;=8,BRAND2&lt;=10),1,0)</f>
        <v>0</v>
      </c>
      <c r="O25" s="249">
        <f t="shared" ca="1" si="35"/>
        <v>0</v>
      </c>
      <c r="P25" s="44" t="s">
        <v>106</v>
      </c>
      <c r="Q25" s="149" t="s">
        <v>204</v>
      </c>
      <c r="R25" s="149" t="s">
        <v>206</v>
      </c>
      <c r="S25" s="275">
        <v>0.1</v>
      </c>
      <c r="T25" s="149">
        <v>0.5</v>
      </c>
      <c r="U25" s="150"/>
      <c r="V25" s="150"/>
      <c r="W25" s="150"/>
      <c r="X25" s="150"/>
      <c r="Y25" s="151"/>
      <c r="Z25" s="143"/>
      <c r="AA25" s="144"/>
      <c r="AB25" s="143"/>
      <c r="AC25" s="145"/>
      <c r="AD25" s="146"/>
      <c r="AE25" s="276" t="str">
        <f>AE23</f>
        <v>4.1303</v>
      </c>
      <c r="AF25" s="152" t="s">
        <v>367</v>
      </c>
      <c r="AG25" s="153"/>
      <c r="AH25" s="636"/>
      <c r="AI25" s="645"/>
      <c r="AJ25" s="269"/>
      <c r="AK25" s="630"/>
      <c r="AL25" s="153"/>
      <c r="AM25" s="655"/>
      <c r="AN25" s="834"/>
      <c r="AO25" s="325" t="str">
        <f t="shared" ca="1" si="38"/>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5" s="325" t="str">
        <f t="shared" ca="1" si="36"/>
        <v>Een periodieke meting bestaat uit drie deelmetingen van 15-30 minuten. De metingen mogen worden uitgevoerd door een geaccrediteerd laboratorium volgens NEN-EN 13284-1(art. 4.1312).</v>
      </c>
      <c r="AQ25" s="325" t="str">
        <f t="shared" ca="1" si="36"/>
        <v>De aangetoonde meetonzekerheid mag niet groter zijn dan 30% van de emissie-eis (art. 4.1312 en art. 4.1319).</v>
      </c>
      <c r="AR25"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5" s="149"/>
      <c r="AT25" s="149"/>
      <c r="AU25" s="150"/>
      <c r="AV25" s="150"/>
      <c r="AW25" s="150"/>
      <c r="AX25" s="158"/>
    </row>
    <row r="26" spans="1:50" x14ac:dyDescent="0.2">
      <c r="A26" s="295"/>
      <c r="B26" s="745">
        <f t="shared" ref="B26" ca="1" si="44">IF(AND(SUM(D26:K26,L26:M26)=COUNT(D26:K26,L26:M26),COUNT(D26:K26,L26:M26)&gt;0),ROW(B26),0)</f>
        <v>0</v>
      </c>
      <c r="C26" s="249">
        <f t="shared" ref="C26" ca="1" si="45">IF(AND(SUM(D26:K26,N26:O26)=COUNT(D26:K26,N26:O26),COUNT(D26:K26,N26:O26)&gt;0),ROW(B26),0)</f>
        <v>0</v>
      </c>
      <c r="D26" s="246">
        <f t="shared" ca="1" si="32"/>
        <v>1</v>
      </c>
      <c r="E26" s="247">
        <f t="shared" ref="E26" ca="1" si="46">IF(AND(OR($AB26="",Tdatum&gt;=$AB26,AND(AB26&lt;&gt;"",ISNUMBER(FIND("j",LOWER(AD26))))),OR($AC26="",Tdatum&lt;=$AC26)),1,0)</f>
        <v>1</v>
      </c>
      <c r="F26" s="247">
        <f t="shared" ca="1" si="16"/>
        <v>0</v>
      </c>
      <c r="G26" s="147">
        <f t="shared" ca="1" si="37"/>
        <v>1</v>
      </c>
      <c r="H26" s="147"/>
      <c r="I26" s="148"/>
      <c r="J26" s="147"/>
      <c r="K26" s="148"/>
      <c r="L26" s="147">
        <f ca="1">IF(AND(BRAND1&gt;=8,BRAND1&lt;=10),1,0)</f>
        <v>0</v>
      </c>
      <c r="M26" s="248">
        <f t="shared" ref="M26" ca="1" si="47">IF(AND(ParBAL1&lt;&gt;"",ParBAL1=P26),1,0)</f>
        <v>1</v>
      </c>
      <c r="N26" s="147">
        <f ca="1">IF(AND(BRAND2&gt;=8,BRAND2&lt;=10),1,0)</f>
        <v>0</v>
      </c>
      <c r="O26" s="249">
        <f t="shared" ref="O26" ca="1" si="48">IF(AND(ParBAL2&lt;&gt;"",ParBAL2=P26),1,0)</f>
        <v>0</v>
      </c>
      <c r="P26" s="44" t="s">
        <v>106</v>
      </c>
      <c r="Q26" s="149" t="s">
        <v>204</v>
      </c>
      <c r="R26" s="149" t="s">
        <v>206</v>
      </c>
      <c r="S26" s="275">
        <v>0.5</v>
      </c>
      <c r="T26" s="149">
        <v>1</v>
      </c>
      <c r="U26" s="150"/>
      <c r="V26" s="150"/>
      <c r="W26" s="150"/>
      <c r="X26" s="150"/>
      <c r="Y26" s="151"/>
      <c r="Z26" s="143"/>
      <c r="AA26" s="144"/>
      <c r="AB26" s="143"/>
      <c r="AC26" s="145"/>
      <c r="AD26" s="146"/>
      <c r="AE26" s="276" t="str">
        <f t="shared" ref="AE26:AE32" si="49">AE25</f>
        <v>4.1303</v>
      </c>
      <c r="AF26" s="762" t="s">
        <v>386</v>
      </c>
      <c r="AG26" s="153"/>
      <c r="AH26" s="636"/>
      <c r="AI26" s="645"/>
      <c r="AJ26" s="269"/>
      <c r="AK26" s="630"/>
      <c r="AL26" s="153"/>
      <c r="AM26" s="655"/>
      <c r="AN26" s="834"/>
      <c r="AO26" s="325" t="str">
        <f t="shared" ca="1" si="38"/>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6" s="325" t="str">
        <f t="shared" ca="1" si="36"/>
        <v>Een periodieke meting bestaat uit drie deelmetingen van 15-30 minuten. De metingen mogen worden uitgevoerd door een geaccrediteerd laboratorium volgens NEN-EN 13284-1(art. 4.1312).</v>
      </c>
      <c r="AQ26" s="325" t="str">
        <f t="shared" ca="1" si="36"/>
        <v>De aangetoonde meetonzekerheid mag niet groter zijn dan 30% van de emissie-eis (art. 4.1312 en art. 4.1319).</v>
      </c>
      <c r="AR26"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6" s="149"/>
      <c r="AT26" s="149"/>
      <c r="AU26" s="150"/>
      <c r="AV26" s="150"/>
      <c r="AW26" s="150"/>
      <c r="AX26" s="158"/>
    </row>
    <row r="27" spans="1:50" x14ac:dyDescent="0.2">
      <c r="A27" s="295"/>
      <c r="B27" s="745">
        <f t="shared" ca="1" si="30"/>
        <v>0</v>
      </c>
      <c r="C27" s="249">
        <f t="shared" ca="1" si="31"/>
        <v>0</v>
      </c>
      <c r="D27" s="246">
        <f t="shared" ca="1" si="32"/>
        <v>1</v>
      </c>
      <c r="E27" s="247">
        <f t="shared" ca="1" si="33"/>
        <v>1</v>
      </c>
      <c r="F27" s="247">
        <f t="shared" ca="1" si="16"/>
        <v>1</v>
      </c>
      <c r="G27" s="147">
        <f t="shared" ca="1" si="37"/>
        <v>1</v>
      </c>
      <c r="H27" s="147"/>
      <c r="I27" s="148"/>
      <c r="J27" s="147"/>
      <c r="K27" s="148"/>
      <c r="L27" s="147">
        <f ca="1">IF(AND(BRAND1&gt;=8,BRAND1&lt;=10),1,0)</f>
        <v>0</v>
      </c>
      <c r="M27" s="248">
        <f t="shared" ca="1" si="34"/>
        <v>1</v>
      </c>
      <c r="N27" s="147">
        <f ca="1">IF(AND(BRAND2&gt;=8,BRAND2&lt;=10),1,0)</f>
        <v>0</v>
      </c>
      <c r="O27" s="249">
        <f t="shared" ca="1" si="35"/>
        <v>0</v>
      </c>
      <c r="P27" s="44" t="s">
        <v>106</v>
      </c>
      <c r="Q27" s="149" t="s">
        <v>204</v>
      </c>
      <c r="R27" s="149" t="s">
        <v>206</v>
      </c>
      <c r="S27" s="149">
        <v>1</v>
      </c>
      <c r="T27" s="149"/>
      <c r="U27" s="150"/>
      <c r="V27" s="150"/>
      <c r="W27" s="150"/>
      <c r="X27" s="150"/>
      <c r="Y27" s="151"/>
      <c r="Z27" s="143"/>
      <c r="AA27" s="144"/>
      <c r="AB27" s="143"/>
      <c r="AC27" s="145"/>
      <c r="AD27" s="146"/>
      <c r="AE27" s="276" t="str">
        <f>AE25</f>
        <v>4.1303</v>
      </c>
      <c r="AF27" s="762" t="s">
        <v>372</v>
      </c>
      <c r="AG27" s="153"/>
      <c r="AH27" s="636"/>
      <c r="AI27" s="645"/>
      <c r="AJ27" s="269"/>
      <c r="AK27" s="630"/>
      <c r="AL27" s="153"/>
      <c r="AM27" s="655"/>
      <c r="AN27" s="834"/>
      <c r="AO27" s="325" t="str">
        <f t="shared" ca="1" si="38"/>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7" s="325" t="str">
        <f t="shared" ca="1" si="36"/>
        <v>Een periodieke meting bestaat uit drie deelmetingen van 15-30 minuten. De metingen mogen worden uitgevoerd door een geaccrediteerd laboratorium volgens NEN-EN 13284-1(art. 4.1312).</v>
      </c>
      <c r="AQ27" s="325" t="str">
        <f t="shared" ca="1" si="36"/>
        <v>De aangetoonde meetonzekerheid mag niet groter zijn dan 30% van de emissie-eis (art. 4.1312 en art. 4.1319).</v>
      </c>
      <c r="AR27"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7" s="149"/>
      <c r="AT27" s="149"/>
      <c r="AU27" s="150"/>
      <c r="AV27" s="150"/>
      <c r="AW27" s="150"/>
      <c r="AX27" s="151"/>
    </row>
    <row r="28" spans="1:50" x14ac:dyDescent="0.2">
      <c r="A28" s="295"/>
      <c r="B28" s="339">
        <f t="shared" ca="1" si="30"/>
        <v>0</v>
      </c>
      <c r="C28" s="249">
        <f t="shared" ca="1" si="31"/>
        <v>0</v>
      </c>
      <c r="D28" s="246">
        <f t="shared" ca="1" si="32"/>
        <v>1</v>
      </c>
      <c r="E28" s="247">
        <f t="shared" ca="1" si="33"/>
        <v>1</v>
      </c>
      <c r="F28" s="247">
        <f t="shared" ca="1" si="16"/>
        <v>1</v>
      </c>
      <c r="G28" s="147">
        <f t="shared" ca="1" si="37"/>
        <v>1</v>
      </c>
      <c r="H28" s="147"/>
      <c r="I28" s="148"/>
      <c r="J28" s="147"/>
      <c r="K28" s="148"/>
      <c r="L28" s="147">
        <f ca="1">IF(AND(BRAND1&gt;=8,BRAND1&lt;=10),1,0)</f>
        <v>0</v>
      </c>
      <c r="M28" s="248">
        <f t="shared" ca="1" si="34"/>
        <v>1</v>
      </c>
      <c r="N28" s="147">
        <f ca="1">IF(AND(BRAND2&gt;=8,BRAND2&lt;=10),1,0)</f>
        <v>0</v>
      </c>
      <c r="O28" s="249">
        <f t="shared" ca="1" si="35"/>
        <v>0</v>
      </c>
      <c r="P28" s="44" t="s">
        <v>106</v>
      </c>
      <c r="Q28" s="149" t="s">
        <v>204</v>
      </c>
      <c r="R28" s="149" t="s">
        <v>206</v>
      </c>
      <c r="S28" s="149">
        <v>5</v>
      </c>
      <c r="T28" s="149"/>
      <c r="U28" s="150"/>
      <c r="V28" s="150"/>
      <c r="W28" s="150"/>
      <c r="X28" s="150"/>
      <c r="Y28" s="151"/>
      <c r="Z28" s="143"/>
      <c r="AA28" s="144"/>
      <c r="AB28" s="143"/>
      <c r="AC28" s="145"/>
      <c r="AD28" s="146"/>
      <c r="AE28" s="276" t="str">
        <f t="shared" si="49"/>
        <v>4.1303</v>
      </c>
      <c r="AF28" s="799" t="s">
        <v>372</v>
      </c>
      <c r="AG28" s="153"/>
      <c r="AH28" s="636"/>
      <c r="AI28" s="645"/>
      <c r="AJ28" s="269"/>
      <c r="AK28" s="630"/>
      <c r="AL28" s="153"/>
      <c r="AM28" s="655"/>
      <c r="AN28" s="834"/>
      <c r="AO28" s="325" t="str">
        <f t="shared" ca="1" si="38"/>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8" s="325" t="str">
        <f t="shared" ca="1" si="36"/>
        <v>Een periodieke meting bestaat uit drie deelmetingen van 15-30 minuten. De metingen mogen worden uitgevoerd door een geaccrediteerd laboratorium volgens NEN-EN 13284-1(art. 4.1312).</v>
      </c>
      <c r="AQ28" s="325" t="str">
        <f t="shared" ca="1" si="36"/>
        <v>De aangetoonde meetonzekerheid mag niet groter zijn dan 30% van de emissie-eis (art. 4.1312 en art. 4.1319).</v>
      </c>
      <c r="AR28"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8" s="149"/>
      <c r="AT28" s="149"/>
      <c r="AU28" s="150"/>
      <c r="AV28" s="150"/>
      <c r="AW28" s="150"/>
      <c r="AX28" s="151"/>
    </row>
    <row r="29" spans="1:50" x14ac:dyDescent="0.2">
      <c r="A29" s="295"/>
      <c r="B29" s="339">
        <f t="shared" ca="1" si="30"/>
        <v>0</v>
      </c>
      <c r="C29" s="249">
        <f t="shared" ca="1" si="31"/>
        <v>0</v>
      </c>
      <c r="D29" s="246">
        <f t="shared" ca="1" si="32"/>
        <v>1</v>
      </c>
      <c r="E29" s="247">
        <f t="shared" ca="1" si="33"/>
        <v>1</v>
      </c>
      <c r="F29" s="247">
        <f t="shared" ca="1" si="16"/>
        <v>0</v>
      </c>
      <c r="G29" s="147">
        <f t="shared" ca="1" si="37"/>
        <v>1</v>
      </c>
      <c r="H29" s="147"/>
      <c r="I29" s="148"/>
      <c r="J29" s="147"/>
      <c r="K29" s="148"/>
      <c r="L29" s="147">
        <f ca="1">IF(BRAND1=3,1,0)</f>
        <v>0</v>
      </c>
      <c r="M29" s="248">
        <f t="shared" ca="1" si="34"/>
        <v>1</v>
      </c>
      <c r="N29" s="147">
        <f ca="1">IF(BRAND2=3,1,0)</f>
        <v>0</v>
      </c>
      <c r="O29" s="249">
        <f t="shared" ca="1" si="35"/>
        <v>0</v>
      </c>
      <c r="P29" s="44" t="s">
        <v>106</v>
      </c>
      <c r="Q29" s="149" t="s">
        <v>204</v>
      </c>
      <c r="R29" s="149" t="s">
        <v>215</v>
      </c>
      <c r="S29" s="275">
        <f>S23</f>
        <v>0.40010000000000001</v>
      </c>
      <c r="T29" s="149">
        <v>1</v>
      </c>
      <c r="U29" s="150"/>
      <c r="V29" s="150"/>
      <c r="W29" s="150"/>
      <c r="X29" s="150"/>
      <c r="Y29" s="151"/>
      <c r="Z29" s="143"/>
      <c r="AA29" s="144"/>
      <c r="AB29" s="143"/>
      <c r="AC29" s="145"/>
      <c r="AD29" s="146"/>
      <c r="AE29" s="276" t="str">
        <f>AE28</f>
        <v>4.1303</v>
      </c>
      <c r="AF29" s="152"/>
      <c r="AG29" s="147"/>
      <c r="AH29" s="636" t="str">
        <f ca="1">IF(AND(MW&lt;1,INGTOT&lt;=SCPbest)," geldt vanaf een ingrijpende wijziging (art. 4.1332 3e lid)","")</f>
        <v/>
      </c>
      <c r="AI29" s="645"/>
      <c r="AJ29" s="269"/>
      <c r="AK29" s="626"/>
      <c r="AL29" s="147"/>
      <c r="AM29" s="655"/>
      <c r="AN29" s="834"/>
      <c r="AO29" s="325" t="str">
        <f t="shared" si="38"/>
        <v/>
      </c>
      <c r="AP29" s="325" t="str">
        <f t="shared" si="36"/>
        <v/>
      </c>
      <c r="AQ29" s="325" t="str">
        <f t="shared" si="36"/>
        <v/>
      </c>
      <c r="AR29" s="349" t="str">
        <f t="shared" si="36"/>
        <v/>
      </c>
      <c r="AS29" s="149"/>
      <c r="AT29" s="149"/>
      <c r="AU29" s="150"/>
      <c r="AV29" s="150"/>
      <c r="AW29" s="150"/>
      <c r="AX29" s="151"/>
    </row>
    <row r="30" spans="1:50" x14ac:dyDescent="0.2">
      <c r="A30" s="295"/>
      <c r="B30" s="339">
        <f t="shared" ca="1" si="30"/>
        <v>0</v>
      </c>
      <c r="C30" s="249">
        <f t="shared" ca="1" si="31"/>
        <v>0</v>
      </c>
      <c r="D30" s="246">
        <f t="shared" ca="1" si="32"/>
        <v>1</v>
      </c>
      <c r="E30" s="247">
        <f t="shared" ca="1" si="33"/>
        <v>1</v>
      </c>
      <c r="F30" s="247">
        <f t="shared" ca="1" si="16"/>
        <v>1</v>
      </c>
      <c r="G30" s="147">
        <f t="shared" ca="1" si="37"/>
        <v>1</v>
      </c>
      <c r="H30" s="147"/>
      <c r="I30" s="148"/>
      <c r="J30" s="147"/>
      <c r="K30" s="148"/>
      <c r="L30" s="147">
        <f ca="1">IF(BRAND1=3,1,0)</f>
        <v>0</v>
      </c>
      <c r="M30" s="248">
        <f t="shared" ca="1" si="34"/>
        <v>1</v>
      </c>
      <c r="N30" s="147">
        <f ca="1">IF(BRAND2=3,1,0)</f>
        <v>0</v>
      </c>
      <c r="O30" s="249">
        <f t="shared" ca="1" si="35"/>
        <v>0</v>
      </c>
      <c r="P30" s="44" t="s">
        <v>106</v>
      </c>
      <c r="Q30" s="149" t="s">
        <v>204</v>
      </c>
      <c r="R30" s="149" t="s">
        <v>215</v>
      </c>
      <c r="S30" s="149">
        <v>1</v>
      </c>
      <c r="T30" s="149"/>
      <c r="U30" s="150"/>
      <c r="V30" s="150"/>
      <c r="W30" s="150"/>
      <c r="X30" s="150"/>
      <c r="Y30" s="151"/>
      <c r="Z30" s="143"/>
      <c r="AA30" s="144"/>
      <c r="AB30" s="143"/>
      <c r="AC30" s="145"/>
      <c r="AD30" s="146"/>
      <c r="AE30" s="276" t="str">
        <f t="shared" si="49"/>
        <v>4.1303</v>
      </c>
      <c r="AF30" s="152"/>
      <c r="AG30" s="147"/>
      <c r="AH30" s="636"/>
      <c r="AI30" s="645"/>
      <c r="AJ30" s="269"/>
      <c r="AK30" s="626"/>
      <c r="AL30" s="147"/>
      <c r="AM30" s="655"/>
      <c r="AN30" s="834"/>
      <c r="AO30" s="325" t="str">
        <f t="shared" si="38"/>
        <v/>
      </c>
      <c r="AP30" s="325" t="str">
        <f t="shared" si="36"/>
        <v/>
      </c>
      <c r="AQ30" s="325" t="str">
        <f t="shared" si="36"/>
        <v/>
      </c>
      <c r="AR30" s="349" t="str">
        <f t="shared" si="36"/>
        <v/>
      </c>
      <c r="AS30" s="149"/>
      <c r="AT30" s="149"/>
      <c r="AU30" s="150"/>
      <c r="AV30" s="150"/>
      <c r="AW30" s="150"/>
      <c r="AX30" s="151"/>
    </row>
    <row r="31" spans="1:50" x14ac:dyDescent="0.2">
      <c r="A31" s="295"/>
      <c r="B31" s="339">
        <f t="shared" ca="1" si="30"/>
        <v>31</v>
      </c>
      <c r="C31" s="249">
        <f t="shared" ca="1" si="31"/>
        <v>0</v>
      </c>
      <c r="D31" s="246">
        <f t="shared" ca="1" si="32"/>
        <v>1</v>
      </c>
      <c r="E31" s="247">
        <f t="shared" ca="1" si="33"/>
        <v>1</v>
      </c>
      <c r="F31" s="247">
        <f t="shared" ca="1" si="16"/>
        <v>1</v>
      </c>
      <c r="G31" s="147">
        <f t="shared" ca="1" si="37"/>
        <v>1</v>
      </c>
      <c r="H31" s="147"/>
      <c r="I31" s="148"/>
      <c r="J31" s="147"/>
      <c r="K31" s="148"/>
      <c r="L31" s="147">
        <f ca="1">IF(BRAND1&lt;=2,1,0)</f>
        <v>1</v>
      </c>
      <c r="M31" s="248">
        <f t="shared" ca="1" si="34"/>
        <v>1</v>
      </c>
      <c r="N31" s="147">
        <f ca="1">IF(BRAND2&lt;=2,1,0)</f>
        <v>0</v>
      </c>
      <c r="O31" s="249">
        <f t="shared" ca="1" si="35"/>
        <v>0</v>
      </c>
      <c r="P31" s="44" t="s">
        <v>106</v>
      </c>
      <c r="Q31" s="149" t="s">
        <v>204</v>
      </c>
      <c r="R31" s="149" t="s">
        <v>524</v>
      </c>
      <c r="S31" s="275">
        <f>S23</f>
        <v>0.40010000000000001</v>
      </c>
      <c r="T31" s="149"/>
      <c r="U31" s="150"/>
      <c r="V31" s="150"/>
      <c r="W31" s="150"/>
      <c r="X31" s="150"/>
      <c r="Y31" s="151"/>
      <c r="Z31" s="143"/>
      <c r="AA31" s="144"/>
      <c r="AB31" s="143"/>
      <c r="AC31" s="145"/>
      <c r="AD31" s="146"/>
      <c r="AE31" s="276" t="str">
        <f t="shared" si="49"/>
        <v>4.1303</v>
      </c>
      <c r="AF31" s="152"/>
      <c r="AG31" s="147"/>
      <c r="AH31" s="636" t="str">
        <f ca="1">IF(AND(MW&lt;1,INGTOT&lt;=SCPbest)," geldt vanaf een ingrijpende wijziging (art. 4.1332 3e lid)","")</f>
        <v/>
      </c>
      <c r="AI31" s="645"/>
      <c r="AJ31" s="269"/>
      <c r="AK31" s="626"/>
      <c r="AL31" s="147"/>
      <c r="AM31" s="655"/>
      <c r="AN31" s="834"/>
      <c r="AO31" s="325" t="str">
        <f t="shared" si="38"/>
        <v/>
      </c>
      <c r="AP31" s="325" t="str">
        <f t="shared" si="36"/>
        <v/>
      </c>
      <c r="AQ31" s="325" t="str">
        <f t="shared" si="36"/>
        <v/>
      </c>
      <c r="AR31" s="349" t="str">
        <f t="shared" si="36"/>
        <v/>
      </c>
      <c r="AS31" s="149"/>
      <c r="AT31" s="149"/>
      <c r="AU31" s="150"/>
      <c r="AV31" s="150"/>
      <c r="AW31" s="150"/>
      <c r="AX31" s="151"/>
    </row>
    <row r="32" spans="1:50" x14ac:dyDescent="0.2">
      <c r="A32" s="295"/>
      <c r="B32" s="339">
        <f t="shared" ca="1" si="30"/>
        <v>0</v>
      </c>
      <c r="C32" s="249">
        <f t="shared" ca="1" si="31"/>
        <v>0</v>
      </c>
      <c r="D32" s="246">
        <f t="shared" ca="1" si="32"/>
        <v>1</v>
      </c>
      <c r="E32" s="247">
        <f t="shared" ca="1" si="33"/>
        <v>1</v>
      </c>
      <c r="F32" s="247">
        <f t="shared" ca="1" si="16"/>
        <v>1</v>
      </c>
      <c r="G32" s="147">
        <f t="shared" ca="1" si="37"/>
        <v>1</v>
      </c>
      <c r="H32" s="147"/>
      <c r="I32" s="148"/>
      <c r="J32" s="147"/>
      <c r="K32" s="148"/>
      <c r="L32" s="147">
        <f ca="1">IF(OR(BRAND1=4,BRAND1=5),1,0)</f>
        <v>0</v>
      </c>
      <c r="M32" s="248">
        <f t="shared" ca="1" si="34"/>
        <v>1</v>
      </c>
      <c r="N32" s="147">
        <f ca="1">IF(OR(BRAND2=4,BRAND2=5),1,0)</f>
        <v>0</v>
      </c>
      <c r="O32" s="249">
        <f t="shared" ca="1" si="35"/>
        <v>0</v>
      </c>
      <c r="P32" s="44" t="s">
        <v>106</v>
      </c>
      <c r="Q32" s="149" t="s">
        <v>204</v>
      </c>
      <c r="R32" s="149" t="s">
        <v>217</v>
      </c>
      <c r="S32" s="275">
        <f>S23</f>
        <v>0.40010000000000001</v>
      </c>
      <c r="T32" s="149"/>
      <c r="U32" s="150"/>
      <c r="V32" s="150"/>
      <c r="W32" s="150"/>
      <c r="X32" s="150"/>
      <c r="Y32" s="151"/>
      <c r="Z32" s="143"/>
      <c r="AA32" s="144"/>
      <c r="AB32" s="143"/>
      <c r="AC32" s="145"/>
      <c r="AD32" s="146"/>
      <c r="AE32" s="276" t="str">
        <f t="shared" si="49"/>
        <v>4.1303</v>
      </c>
      <c r="AF32" s="152"/>
      <c r="AG32" s="147"/>
      <c r="AH32" s="636" t="str">
        <f ca="1">IF(AND(MW&lt;1,INGTOT&lt;=SCPbest)," geldt vanaf een ingrijpende wijziging (art. 4.1332 3e lid)","")</f>
        <v/>
      </c>
      <c r="AI32" s="645"/>
      <c r="AJ32" s="269"/>
      <c r="AK32" s="626"/>
      <c r="AL32" s="147"/>
      <c r="AM32" s="655"/>
      <c r="AN32" s="834"/>
      <c r="AO32" s="325" t="str">
        <f t="shared" si="38"/>
        <v/>
      </c>
      <c r="AP32" s="325" t="str">
        <f t="shared" si="36"/>
        <v/>
      </c>
      <c r="AQ32" s="325" t="str">
        <f t="shared" si="36"/>
        <v/>
      </c>
      <c r="AR32" s="349" t="str">
        <f t="shared" si="36"/>
        <v/>
      </c>
      <c r="AS32" s="149"/>
      <c r="AT32" s="149"/>
      <c r="AU32" s="150"/>
      <c r="AV32" s="150"/>
      <c r="AW32" s="150"/>
      <c r="AX32" s="151"/>
    </row>
    <row r="33" spans="1:50" x14ac:dyDescent="0.2">
      <c r="A33" s="295"/>
      <c r="B33" s="339">
        <f t="shared" ca="1" si="30"/>
        <v>0</v>
      </c>
      <c r="C33" s="249">
        <f t="shared" ca="1" si="31"/>
        <v>0</v>
      </c>
      <c r="D33" s="246">
        <f t="shared" ca="1" si="32"/>
        <v>1</v>
      </c>
      <c r="E33" s="247">
        <f t="shared" ca="1" si="33"/>
        <v>1</v>
      </c>
      <c r="F33" s="247">
        <f t="shared" ca="1" si="16"/>
        <v>1</v>
      </c>
      <c r="G33" s="147">
        <f ca="1">IF(SI=3,1,0)</f>
        <v>0</v>
      </c>
      <c r="H33" s="147"/>
      <c r="I33" s="148"/>
      <c r="J33" s="147"/>
      <c r="K33" s="148"/>
      <c r="L33" s="147">
        <f ca="1">IF(FBRAND1="l",1,0)</f>
        <v>0</v>
      </c>
      <c r="M33" s="248">
        <f t="shared" ca="1" si="34"/>
        <v>1</v>
      </c>
      <c r="N33" s="147">
        <f ca="1">IF(FBRAND2="l",1,0)</f>
        <v>0</v>
      </c>
      <c r="O33" s="249">
        <f t="shared" ca="1" si="35"/>
        <v>0</v>
      </c>
      <c r="P33" s="44" t="s">
        <v>106</v>
      </c>
      <c r="Q33" s="149" t="s">
        <v>270</v>
      </c>
      <c r="R33" s="149" t="s">
        <v>173</v>
      </c>
      <c r="S33" s="275">
        <v>0.1</v>
      </c>
      <c r="T33" s="149"/>
      <c r="U33" s="150"/>
      <c r="V33" s="150"/>
      <c r="W33" s="150"/>
      <c r="X33" s="150"/>
      <c r="Y33" s="151"/>
      <c r="Z33" s="143"/>
      <c r="AA33" s="144"/>
      <c r="AB33" s="143"/>
      <c r="AC33" s="145"/>
      <c r="AD33" s="146"/>
      <c r="AE33" s="277" t="s">
        <v>219</v>
      </c>
      <c r="AF33" s="152" t="s">
        <v>372</v>
      </c>
      <c r="AG33" s="147"/>
      <c r="AH33" s="636"/>
      <c r="AI33" s="645"/>
      <c r="AJ33" s="269"/>
      <c r="AK33" s="626"/>
      <c r="AL33" s="147"/>
      <c r="AM33" s="655"/>
      <c r="AN33" s="834"/>
      <c r="AO33" s="325" t="str">
        <f t="shared" ca="1" si="38"/>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25" t="str">
        <f t="shared" ca="1" si="36"/>
        <v>Een periodieke meting bestaat uit drie deelmetingen van 15-30 minuten. De metingen mogen worden uitgevoerd door een geaccrediteerd laboratorium volgens NEN-EN 13284-1(art. 4.1312).</v>
      </c>
      <c r="AQ33" s="325" t="str">
        <f t="shared" ca="1" si="36"/>
        <v>De aangetoonde meetonzekerheid mag niet groter zijn dan 30% van de emissie-eis (art. 4.1312 en art. 4.1319).</v>
      </c>
      <c r="AR33"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9"/>
      <c r="AT33" s="149"/>
      <c r="AU33" s="150"/>
      <c r="AV33" s="150"/>
      <c r="AW33" s="150"/>
      <c r="AX33" s="151"/>
    </row>
    <row r="34" spans="1:50" x14ac:dyDescent="0.2">
      <c r="A34" s="295"/>
      <c r="B34" s="339">
        <f t="shared" ca="1" si="30"/>
        <v>0</v>
      </c>
      <c r="C34" s="249">
        <f t="shared" ca="1" si="31"/>
        <v>0</v>
      </c>
      <c r="D34" s="246">
        <f t="shared" ca="1" si="32"/>
        <v>1</v>
      </c>
      <c r="E34" s="247">
        <f t="shared" ca="1" si="33"/>
        <v>1</v>
      </c>
      <c r="F34" s="247">
        <f t="shared" ca="1" si="16"/>
        <v>1</v>
      </c>
      <c r="G34" s="147">
        <f ca="1">IF(SI=3,1,0)</f>
        <v>0</v>
      </c>
      <c r="H34" s="147"/>
      <c r="I34" s="148"/>
      <c r="J34" s="147"/>
      <c r="K34" s="148"/>
      <c r="L34" s="147">
        <f ca="1">IF(BRAND1&lt;=2,1,0)</f>
        <v>1</v>
      </c>
      <c r="M34" s="248">
        <f t="shared" ca="1" si="34"/>
        <v>1</v>
      </c>
      <c r="N34" s="147">
        <f ca="1">IF(BRAND2&lt;=2,1,0)</f>
        <v>0</v>
      </c>
      <c r="O34" s="249">
        <f t="shared" ca="1" si="35"/>
        <v>0</v>
      </c>
      <c r="P34" s="44" t="s">
        <v>106</v>
      </c>
      <c r="Q34" s="149" t="s">
        <v>270</v>
      </c>
      <c r="R34" s="149" t="s">
        <v>524</v>
      </c>
      <c r="S34" s="275">
        <v>0.1</v>
      </c>
      <c r="T34" s="149"/>
      <c r="U34" s="150"/>
      <c r="V34" s="150"/>
      <c r="W34" s="150"/>
      <c r="X34" s="150"/>
      <c r="Y34" s="151"/>
      <c r="Z34" s="143"/>
      <c r="AA34" s="144"/>
      <c r="AB34" s="143"/>
      <c r="AC34" s="145"/>
      <c r="AD34" s="146"/>
      <c r="AE34" s="276" t="str">
        <f>AE33</f>
        <v>4.1304</v>
      </c>
      <c r="AF34" s="152"/>
      <c r="AG34" s="147"/>
      <c r="AH34" s="636"/>
      <c r="AI34" s="645"/>
      <c r="AJ34" s="269"/>
      <c r="AK34" s="626"/>
      <c r="AL34" s="147"/>
      <c r="AM34" s="655"/>
      <c r="AN34" s="834"/>
      <c r="AO34" s="325" t="str">
        <f t="shared" si="38"/>
        <v/>
      </c>
      <c r="AP34" s="325" t="str">
        <f t="shared" si="36"/>
        <v/>
      </c>
      <c r="AQ34" s="325" t="str">
        <f t="shared" si="36"/>
        <v/>
      </c>
      <c r="AR34" s="349" t="str">
        <f t="shared" si="36"/>
        <v/>
      </c>
      <c r="AS34" s="149"/>
      <c r="AT34" s="149"/>
      <c r="AU34" s="150"/>
      <c r="AV34" s="150"/>
      <c r="AW34" s="150"/>
      <c r="AX34" s="151"/>
    </row>
    <row r="35" spans="1:50" x14ac:dyDescent="0.2">
      <c r="A35" s="295"/>
      <c r="B35" s="339">
        <f t="shared" ca="1" si="30"/>
        <v>0</v>
      </c>
      <c r="C35" s="249">
        <f t="shared" ca="1" si="31"/>
        <v>0</v>
      </c>
      <c r="D35" s="246">
        <f t="shared" ca="1" si="32"/>
        <v>1</v>
      </c>
      <c r="E35" s="247">
        <f t="shared" ca="1" si="33"/>
        <v>1</v>
      </c>
      <c r="F35" s="247">
        <f t="shared" ca="1" si="16"/>
        <v>1</v>
      </c>
      <c r="G35" s="147">
        <f ca="1">IF(SI=3,1,0)</f>
        <v>0</v>
      </c>
      <c r="H35" s="147"/>
      <c r="I35" s="148"/>
      <c r="J35" s="147"/>
      <c r="K35" s="148"/>
      <c r="L35" s="147">
        <f ca="1">IF(AND(BRAND1&gt;=3,BRAND1&lt;=5),1,0)</f>
        <v>0</v>
      </c>
      <c r="M35" s="248">
        <f t="shared" ca="1" si="34"/>
        <v>1</v>
      </c>
      <c r="N35" s="147">
        <f ca="1">IF(AND(BRAND2&gt;=3,BRAND2&lt;=5),1,0)</f>
        <v>0</v>
      </c>
      <c r="O35" s="249">
        <f t="shared" ca="1" si="35"/>
        <v>0</v>
      </c>
      <c r="P35" s="44" t="s">
        <v>106</v>
      </c>
      <c r="Q35" s="149" t="s">
        <v>270</v>
      </c>
      <c r="R35" s="149" t="s">
        <v>220</v>
      </c>
      <c r="S35" s="275">
        <v>0.1</v>
      </c>
      <c r="T35" s="149"/>
      <c r="U35" s="150"/>
      <c r="V35" s="150"/>
      <c r="W35" s="150"/>
      <c r="X35" s="150"/>
      <c r="Y35" s="151"/>
      <c r="Z35" s="143"/>
      <c r="AA35" s="144"/>
      <c r="AB35" s="143"/>
      <c r="AC35" s="145"/>
      <c r="AD35" s="146"/>
      <c r="AE35" s="276" t="str">
        <f>AE34</f>
        <v>4.1304</v>
      </c>
      <c r="AF35" s="152"/>
      <c r="AG35" s="147"/>
      <c r="AH35" s="636"/>
      <c r="AI35" s="645"/>
      <c r="AJ35" s="269"/>
      <c r="AK35" s="626"/>
      <c r="AL35" s="147"/>
      <c r="AM35" s="655"/>
      <c r="AN35" s="834"/>
      <c r="AO35" s="325" t="str">
        <f t="shared" si="38"/>
        <v/>
      </c>
      <c r="AP35" s="325" t="str">
        <f t="shared" si="36"/>
        <v/>
      </c>
      <c r="AQ35" s="325" t="str">
        <f t="shared" si="36"/>
        <v/>
      </c>
      <c r="AR35" s="349" t="str">
        <f t="shared" si="36"/>
        <v/>
      </c>
      <c r="AS35" s="149"/>
      <c r="AT35" s="149"/>
      <c r="AU35" s="150"/>
      <c r="AV35" s="150"/>
      <c r="AW35" s="150"/>
      <c r="AX35" s="151"/>
    </row>
    <row r="36" spans="1:50" x14ac:dyDescent="0.2">
      <c r="A36" s="295"/>
      <c r="B36" s="339">
        <f t="shared" ca="1" si="30"/>
        <v>0</v>
      </c>
      <c r="C36" s="249">
        <f t="shared" ca="1" si="31"/>
        <v>0</v>
      </c>
      <c r="D36" s="246">
        <f t="shared" ca="1" si="32"/>
        <v>1</v>
      </c>
      <c r="E36" s="247">
        <f t="shared" ca="1" si="33"/>
        <v>1</v>
      </c>
      <c r="F36" s="247">
        <f t="shared" ca="1" si="16"/>
        <v>0</v>
      </c>
      <c r="G36" s="147">
        <f ca="1">IF(SI=5,1,0)</f>
        <v>0</v>
      </c>
      <c r="H36" s="147"/>
      <c r="I36" s="148"/>
      <c r="J36" s="147"/>
      <c r="K36" s="148"/>
      <c r="L36" s="147">
        <f ca="1">IF(OR(FBRAND1="g",FBRAND1="l"),1,0)</f>
        <v>1</v>
      </c>
      <c r="M36" s="248">
        <f t="shared" ca="1" si="34"/>
        <v>1</v>
      </c>
      <c r="N36" s="147">
        <f ca="1">IF(OR(FBRAND1="g",FBRAND1="l"),1,0)</f>
        <v>1</v>
      </c>
      <c r="O36" s="249">
        <f t="shared" ca="1" si="35"/>
        <v>0</v>
      </c>
      <c r="P36" s="44" t="s">
        <v>106</v>
      </c>
      <c r="Q36" s="149" t="s">
        <v>221</v>
      </c>
      <c r="R36" s="149" t="s">
        <v>223</v>
      </c>
      <c r="S36" s="275">
        <v>0.1</v>
      </c>
      <c r="T36" s="740">
        <v>5.0000999999999998</v>
      </c>
      <c r="U36" s="150"/>
      <c r="V36" s="150"/>
      <c r="W36" s="150"/>
      <c r="X36" s="150"/>
      <c r="Y36" s="151"/>
      <c r="Z36" s="143"/>
      <c r="AA36" s="144"/>
      <c r="AB36" s="143"/>
      <c r="AC36" s="145"/>
      <c r="AD36" s="146"/>
      <c r="AE36" s="276" t="s">
        <v>225</v>
      </c>
      <c r="AF36" s="152" t="s">
        <v>393</v>
      </c>
      <c r="AG36" s="147"/>
      <c r="AH36" s="636"/>
      <c r="AI36" s="645"/>
      <c r="AJ36" s="269"/>
      <c r="AK36" s="631" t="str">
        <f ca="1">IF(AND(Offshore,MW&lt;0.6),"4.1306","")</f>
        <v/>
      </c>
      <c r="AL36" s="147"/>
      <c r="AM36" s="655"/>
      <c r="AN36" s="834"/>
      <c r="AO36" s="325" t="str">
        <f t="shared" ca="1" si="38"/>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25" t="str">
        <f t="shared" ca="1" si="36"/>
        <v>Een periodieke meting bestaat uit drie deelmetingen van 15-30 minuten. De metingen mogen worden uitgevoerd door een geaccrediteerd laboratorium volgens NEN-EN 13284-1(art. 4.1312).</v>
      </c>
      <c r="AQ36" s="325" t="str">
        <f t="shared" ca="1" si="36"/>
        <v>De aangetoonde meetonzekerheid mag niet groter zijn dan 30% van de emissie-eis (art. 4.1312 en art. 4.1319).</v>
      </c>
      <c r="AR36"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9"/>
      <c r="AT36" s="149"/>
      <c r="AU36" s="150"/>
      <c r="AV36" s="150"/>
      <c r="AW36" s="150"/>
      <c r="AX36" s="151"/>
    </row>
    <row r="37" spans="1:50" x14ac:dyDescent="0.2">
      <c r="A37" s="295"/>
      <c r="B37" s="339">
        <f t="shared" ca="1" si="30"/>
        <v>0</v>
      </c>
      <c r="C37" s="249">
        <f t="shared" ca="1" si="31"/>
        <v>0</v>
      </c>
      <c r="D37" s="246">
        <f t="shared" ca="1" si="32"/>
        <v>1</v>
      </c>
      <c r="E37" s="247">
        <f t="shared" ca="1" si="33"/>
        <v>1</v>
      </c>
      <c r="F37" s="247">
        <f t="shared" ca="1" si="16"/>
        <v>1</v>
      </c>
      <c r="G37" s="147">
        <f ca="1">IF(SI=5,1,0)</f>
        <v>0</v>
      </c>
      <c r="H37" s="147"/>
      <c r="I37" s="148"/>
      <c r="J37" s="147"/>
      <c r="K37" s="148"/>
      <c r="L37" s="147">
        <f ca="1">IF(OR(FBRAND1="g",FBRAND1="l"),1,0)</f>
        <v>1</v>
      </c>
      <c r="M37" s="248">
        <f t="shared" ca="1" si="34"/>
        <v>1</v>
      </c>
      <c r="N37" s="147">
        <f ca="1">IF(OR(FBRAND1="g",FBRAND1="l"),1,0)</f>
        <v>1</v>
      </c>
      <c r="O37" s="249">
        <f t="shared" ca="1" si="35"/>
        <v>0</v>
      </c>
      <c r="P37" s="44" t="s">
        <v>106</v>
      </c>
      <c r="Q37" s="149" t="s">
        <v>221</v>
      </c>
      <c r="R37" s="149" t="s">
        <v>223</v>
      </c>
      <c r="S37" s="149">
        <v>5.0000999999999998</v>
      </c>
      <c r="T37" s="149"/>
      <c r="U37" s="150"/>
      <c r="V37" s="150"/>
      <c r="W37" s="150"/>
      <c r="X37" s="150"/>
      <c r="Y37" s="151"/>
      <c r="Z37" s="143"/>
      <c r="AA37" s="144"/>
      <c r="AB37" s="143"/>
      <c r="AC37" s="145"/>
      <c r="AD37" s="146"/>
      <c r="AE37" s="276" t="str">
        <f>AE36</f>
        <v>4.1305</v>
      </c>
      <c r="AF37" s="152" t="s">
        <v>401</v>
      </c>
      <c r="AG37" s="147"/>
      <c r="AH37" s="636"/>
      <c r="AI37" s="645"/>
      <c r="AJ37" s="269"/>
      <c r="AK37" s="626"/>
      <c r="AL37" s="147"/>
      <c r="AM37" s="655"/>
      <c r="AN37" s="834"/>
      <c r="AO37" s="325" t="str">
        <f t="shared" ca="1" si="38"/>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25" t="str">
        <f t="shared" ca="1" si="36"/>
        <v>Een periodieke meting bestaat uit drie deelmetingen van 15-30 minuten. De metingen mogen worden uitgevoerd door een geaccrediteerd laboratorium volgens NEN-EN 13284-1(art. 4.1312).</v>
      </c>
      <c r="AQ37" s="325" t="str">
        <f t="shared" ca="1" si="36"/>
        <v>De aangetoonde meetonzekerheid mag niet groter zijn dan 30% van de emissie-eis (art. 4.1312 en art. 4.1319).</v>
      </c>
      <c r="AR37"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9"/>
      <c r="AT37" s="149"/>
      <c r="AU37" s="150"/>
      <c r="AV37" s="150"/>
      <c r="AW37" s="150"/>
      <c r="AX37" s="151"/>
    </row>
    <row r="38" spans="1:50" x14ac:dyDescent="0.2">
      <c r="A38" s="295"/>
      <c r="B38" s="339">
        <f t="shared" ca="1" si="30"/>
        <v>0</v>
      </c>
      <c r="C38" s="249">
        <f t="shared" ca="1" si="31"/>
        <v>0</v>
      </c>
      <c r="D38" s="246">
        <f t="shared" ca="1" si="32"/>
        <v>0</v>
      </c>
      <c r="E38" s="247">
        <f t="shared" ca="1" si="33"/>
        <v>1</v>
      </c>
      <c r="F38" s="247">
        <f t="shared" ca="1" si="16"/>
        <v>0</v>
      </c>
      <c r="G38" s="147">
        <f ca="1">IF(SI=4,1,0)</f>
        <v>0</v>
      </c>
      <c r="H38" s="147"/>
      <c r="I38" s="148"/>
      <c r="J38" s="147"/>
      <c r="K38" s="148"/>
      <c r="L38" s="147">
        <f ca="1">IF(BRAND1&lt;=2,1,0)</f>
        <v>1</v>
      </c>
      <c r="M38" s="248">
        <f t="shared" ca="1" si="34"/>
        <v>1</v>
      </c>
      <c r="N38" s="147">
        <f ca="1">IF(BRAND2&lt;=2,1,0)</f>
        <v>0</v>
      </c>
      <c r="O38" s="249">
        <f t="shared" ca="1" si="35"/>
        <v>0</v>
      </c>
      <c r="P38" s="44" t="s">
        <v>106</v>
      </c>
      <c r="Q38" s="149" t="s">
        <v>188</v>
      </c>
      <c r="R38" s="149" t="s">
        <v>524</v>
      </c>
      <c r="S38" s="149">
        <v>0.1</v>
      </c>
      <c r="T38" s="149">
        <v>2.5</v>
      </c>
      <c r="U38" s="150"/>
      <c r="V38" s="150"/>
      <c r="W38" s="150"/>
      <c r="X38" s="150"/>
      <c r="Y38" s="151"/>
      <c r="Z38" s="143">
        <f>IWTMCP</f>
        <v>43454</v>
      </c>
      <c r="AA38" s="144"/>
      <c r="AB38" s="143"/>
      <c r="AC38" s="145"/>
      <c r="AD38" s="146"/>
      <c r="AE38" s="276" t="s">
        <v>224</v>
      </c>
      <c r="AF38" s="152"/>
      <c r="AG38" s="147"/>
      <c r="AH38" s="636"/>
      <c r="AI38" s="645"/>
      <c r="AJ38" s="269"/>
      <c r="AK38" s="626"/>
      <c r="AL38" s="147"/>
      <c r="AM38" s="655"/>
      <c r="AN38" s="834"/>
      <c r="AO38" s="325" t="str">
        <f t="shared" si="38"/>
        <v/>
      </c>
      <c r="AP38" s="325" t="str">
        <f t="shared" si="36"/>
        <v/>
      </c>
      <c r="AQ38" s="325" t="str">
        <f t="shared" si="36"/>
        <v/>
      </c>
      <c r="AR38" s="349" t="str">
        <f t="shared" si="36"/>
        <v/>
      </c>
      <c r="AS38" s="149"/>
      <c r="AT38" s="149"/>
      <c r="AU38" s="150"/>
      <c r="AV38" s="150"/>
      <c r="AW38" s="150"/>
      <c r="AX38" s="151"/>
    </row>
    <row r="39" spans="1:50" x14ac:dyDescent="0.2">
      <c r="A39" s="295"/>
      <c r="B39" s="339">
        <f t="shared" ca="1" si="30"/>
        <v>0</v>
      </c>
      <c r="C39" s="249">
        <f t="shared" ca="1" si="31"/>
        <v>0</v>
      </c>
      <c r="D39" s="246">
        <f t="shared" ca="1" si="32"/>
        <v>1</v>
      </c>
      <c r="E39" s="247">
        <f t="shared" ca="1" si="33"/>
        <v>1</v>
      </c>
      <c r="F39" s="247">
        <f t="shared" ca="1" si="16"/>
        <v>0</v>
      </c>
      <c r="G39" s="147">
        <f ca="1">IF(SI=4,1,0)</f>
        <v>0</v>
      </c>
      <c r="H39" s="147"/>
      <c r="I39" s="148"/>
      <c r="J39" s="147"/>
      <c r="K39" s="148"/>
      <c r="L39" s="147">
        <f ca="1">IF(OR(BRAND1=4,BRAND1=5),1,0)</f>
        <v>0</v>
      </c>
      <c r="M39" s="248">
        <f t="shared" ca="1" si="34"/>
        <v>1</v>
      </c>
      <c r="N39" s="147">
        <f ca="1">IF(OR(BRAND2=4,BRAND2=5),1,0)</f>
        <v>0</v>
      </c>
      <c r="O39" s="249">
        <f t="shared" ca="1" si="35"/>
        <v>0</v>
      </c>
      <c r="P39" s="44" t="s">
        <v>106</v>
      </c>
      <c r="Q39" s="149" t="s">
        <v>188</v>
      </c>
      <c r="R39" s="149" t="s">
        <v>217</v>
      </c>
      <c r="S39" s="149">
        <v>0.1</v>
      </c>
      <c r="T39" s="149">
        <v>2.5</v>
      </c>
      <c r="U39" s="150"/>
      <c r="V39" s="150"/>
      <c r="W39" s="150"/>
      <c r="X39" s="150"/>
      <c r="Y39" s="151"/>
      <c r="Z39" s="143"/>
      <c r="AA39" s="144"/>
      <c r="AB39" s="143"/>
      <c r="AC39" s="145"/>
      <c r="AD39" s="146"/>
      <c r="AE39" s="276" t="s">
        <v>224</v>
      </c>
      <c r="AF39" s="152"/>
      <c r="AG39" s="147"/>
      <c r="AH39" s="636"/>
      <c r="AI39" s="645"/>
      <c r="AJ39" s="269"/>
      <c r="AK39" s="626"/>
      <c r="AL39" s="147"/>
      <c r="AM39" s="655"/>
      <c r="AN39" s="834"/>
      <c r="AO39" s="325" t="str">
        <f t="shared" si="38"/>
        <v/>
      </c>
      <c r="AP39" s="325" t="str">
        <f t="shared" si="36"/>
        <v/>
      </c>
      <c r="AQ39" s="325" t="str">
        <f t="shared" si="36"/>
        <v/>
      </c>
      <c r="AR39" s="349" t="str">
        <f t="shared" si="36"/>
        <v/>
      </c>
      <c r="AS39" s="149"/>
      <c r="AT39" s="149"/>
      <c r="AU39" s="150"/>
      <c r="AV39" s="150"/>
      <c r="AW39" s="150"/>
      <c r="AX39" s="151"/>
    </row>
    <row r="40" spans="1:50" x14ac:dyDescent="0.2">
      <c r="A40" s="295"/>
      <c r="B40" s="339">
        <f t="shared" ca="1" si="30"/>
        <v>0</v>
      </c>
      <c r="C40" s="249">
        <f t="shared" ca="1" si="31"/>
        <v>0</v>
      </c>
      <c r="D40" s="246">
        <f t="shared" ca="1" si="32"/>
        <v>1</v>
      </c>
      <c r="E40" s="247">
        <f t="shared" ca="1" si="33"/>
        <v>1</v>
      </c>
      <c r="F40" s="247">
        <f t="shared" ca="1" si="16"/>
        <v>1</v>
      </c>
      <c r="G40" s="147">
        <f ca="1">IF(SI=4,1,0)</f>
        <v>0</v>
      </c>
      <c r="H40" s="147"/>
      <c r="I40" s="148"/>
      <c r="J40" s="147"/>
      <c r="K40" s="148"/>
      <c r="L40" s="147">
        <f ca="1">IF(AND(BRAND1&lt;&gt;3,FBRAND1="g"),1,0)</f>
        <v>1</v>
      </c>
      <c r="M40" s="248">
        <f t="shared" ca="1" si="34"/>
        <v>1</v>
      </c>
      <c r="N40" s="147">
        <f ca="1">IF(AND(BRAND2&lt;&gt;3,FBRAND2="g"),1,0)</f>
        <v>0</v>
      </c>
      <c r="O40" s="249">
        <f t="shared" ca="1" si="35"/>
        <v>0</v>
      </c>
      <c r="P40" s="44" t="s">
        <v>106</v>
      </c>
      <c r="Q40" s="149" t="s">
        <v>188</v>
      </c>
      <c r="R40" s="149" t="s">
        <v>228</v>
      </c>
      <c r="S40" s="149">
        <v>2.5</v>
      </c>
      <c r="T40" s="149"/>
      <c r="U40" s="150"/>
      <c r="V40" s="150"/>
      <c r="W40" s="150"/>
      <c r="X40" s="150"/>
      <c r="Y40" s="151"/>
      <c r="Z40" s="143"/>
      <c r="AA40" s="144"/>
      <c r="AB40" s="143"/>
      <c r="AC40" s="145"/>
      <c r="AD40" s="146"/>
      <c r="AE40" s="276" t="s">
        <v>224</v>
      </c>
      <c r="AF40" s="152"/>
      <c r="AG40" s="147"/>
      <c r="AH40" s="636"/>
      <c r="AI40" s="645"/>
      <c r="AJ40" s="269"/>
      <c r="AK40" s="626"/>
      <c r="AL40" s="147"/>
      <c r="AM40" s="655"/>
      <c r="AN40" s="834"/>
      <c r="AO40" s="325" t="str">
        <f t="shared" si="38"/>
        <v/>
      </c>
      <c r="AP40" s="325" t="str">
        <f t="shared" si="36"/>
        <v/>
      </c>
      <c r="AQ40" s="325" t="str">
        <f t="shared" si="36"/>
        <v/>
      </c>
      <c r="AR40" s="349" t="str">
        <f t="shared" si="36"/>
        <v/>
      </c>
      <c r="AS40" s="149"/>
      <c r="AT40" s="149"/>
      <c r="AU40" s="150"/>
      <c r="AV40" s="150"/>
      <c r="AW40" s="150"/>
      <c r="AX40" s="151"/>
    </row>
    <row r="41" spans="1:50" x14ac:dyDescent="0.2">
      <c r="A41" s="295"/>
      <c r="B41" s="339">
        <f t="shared" ca="1" si="30"/>
        <v>0</v>
      </c>
      <c r="C41" s="249">
        <f t="shared" ca="1" si="31"/>
        <v>0</v>
      </c>
      <c r="D41" s="246">
        <f t="shared" ca="1" si="32"/>
        <v>1</v>
      </c>
      <c r="E41" s="247">
        <f t="shared" ca="1" si="33"/>
        <v>1</v>
      </c>
      <c r="F41" s="247">
        <f t="shared" ca="1" si="16"/>
        <v>1</v>
      </c>
      <c r="G41" s="147">
        <f ca="1">IF(SI=4,1,0)</f>
        <v>0</v>
      </c>
      <c r="H41" s="147"/>
      <c r="I41" s="148"/>
      <c r="J41" s="147"/>
      <c r="K41" s="148"/>
      <c r="L41" s="147">
        <f ca="1">IF(BRAND1=3,1,0)</f>
        <v>0</v>
      </c>
      <c r="M41" s="248">
        <f t="shared" ca="1" si="34"/>
        <v>1</v>
      </c>
      <c r="N41" s="147">
        <f ca="1">IF(BRAND2=3,1,0)</f>
        <v>0</v>
      </c>
      <c r="O41" s="249">
        <f t="shared" ca="1" si="35"/>
        <v>0</v>
      </c>
      <c r="P41" s="44" t="s">
        <v>106</v>
      </c>
      <c r="Q41" s="149" t="s">
        <v>188</v>
      </c>
      <c r="R41" s="149" t="s">
        <v>215</v>
      </c>
      <c r="S41" s="149">
        <v>0.1</v>
      </c>
      <c r="T41" s="149"/>
      <c r="U41" s="150"/>
      <c r="V41" s="150"/>
      <c r="W41" s="150"/>
      <c r="X41" s="150"/>
      <c r="Y41" s="151"/>
      <c r="Z41" s="143"/>
      <c r="AA41" s="144"/>
      <c r="AB41" s="143"/>
      <c r="AC41" s="145"/>
      <c r="AD41" s="146"/>
      <c r="AE41" s="276" t="s">
        <v>224</v>
      </c>
      <c r="AF41" s="152"/>
      <c r="AG41" s="147"/>
      <c r="AH41" s="636"/>
      <c r="AI41" s="645"/>
      <c r="AJ41" s="269"/>
      <c r="AK41" s="626"/>
      <c r="AL41" s="147"/>
      <c r="AM41" s="655"/>
      <c r="AN41" s="834"/>
      <c r="AO41" s="325" t="str">
        <f t="shared" si="38"/>
        <v/>
      </c>
      <c r="AP41" s="325" t="str">
        <f t="shared" si="36"/>
        <v/>
      </c>
      <c r="AQ41" s="325" t="str">
        <f t="shared" si="36"/>
        <v/>
      </c>
      <c r="AR41" s="349" t="str">
        <f t="shared" si="36"/>
        <v/>
      </c>
      <c r="AS41" s="149"/>
      <c r="AT41" s="149"/>
      <c r="AU41" s="150"/>
      <c r="AV41" s="150"/>
      <c r="AW41" s="150"/>
      <c r="AX41" s="151"/>
    </row>
    <row r="42" spans="1:50" x14ac:dyDescent="0.2">
      <c r="A42" s="295"/>
      <c r="B42" s="339">
        <f t="shared" ca="1" si="30"/>
        <v>0</v>
      </c>
      <c r="C42" s="249">
        <f t="shared" ca="1" si="31"/>
        <v>0</v>
      </c>
      <c r="D42" s="246">
        <f t="shared" ca="1" si="32"/>
        <v>1</v>
      </c>
      <c r="E42" s="247">
        <f t="shared" ca="1" si="33"/>
        <v>1</v>
      </c>
      <c r="F42" s="247">
        <f t="shared" ca="1" si="16"/>
        <v>1</v>
      </c>
      <c r="G42" s="147">
        <f t="shared" ref="G42:G47" ca="1" si="50">IF(OR(SI=6,SI=7,SI=9),1,0)</f>
        <v>0</v>
      </c>
      <c r="H42" s="147"/>
      <c r="I42" s="148"/>
      <c r="J42" s="147"/>
      <c r="K42" s="148"/>
      <c r="L42" s="147">
        <f ca="1">IF(OR(BRAND1=6,BRAND1=7),1,0)</f>
        <v>0</v>
      </c>
      <c r="M42" s="248">
        <f t="shared" ca="1" si="34"/>
        <v>1</v>
      </c>
      <c r="N42" s="147">
        <f ca="1">IF(OR(BRAND2=6,BRAND2=7),1,0)</f>
        <v>0</v>
      </c>
      <c r="O42" s="249">
        <f t="shared" ca="1" si="35"/>
        <v>0</v>
      </c>
      <c r="P42" s="44" t="s">
        <v>106</v>
      </c>
      <c r="Q42" s="149" t="s">
        <v>232</v>
      </c>
      <c r="R42" s="149" t="s">
        <v>208</v>
      </c>
      <c r="S42" s="149">
        <v>1</v>
      </c>
      <c r="T42" s="149"/>
      <c r="U42" s="150"/>
      <c r="V42" s="150"/>
      <c r="W42" s="150"/>
      <c r="X42" s="150"/>
      <c r="Y42" s="151"/>
      <c r="Z42" s="143"/>
      <c r="AA42" s="144"/>
      <c r="AB42" s="143"/>
      <c r="AC42" s="145"/>
      <c r="AD42" s="146"/>
      <c r="AE42" s="276" t="s">
        <v>233</v>
      </c>
      <c r="AF42" s="152" t="s">
        <v>372</v>
      </c>
      <c r="AG42" s="147"/>
      <c r="AH42" s="636" t="str">
        <f ca="1">IF(AND(INGTOT&lt;=IWTMCP,Tdatum&lt;IWTMCPbest),CONCATENATE(" geldt vanaf ",IWTMCPbesttxt," (art. 4.1337)"),"")</f>
        <v xml:space="preserve"> geldt vanaf 1-1-2025 (art. 4.1337)</v>
      </c>
      <c r="AI42" s="645"/>
      <c r="AJ42" s="269"/>
      <c r="AK42" s="626"/>
      <c r="AL42" s="147"/>
      <c r="AM42" s="655"/>
      <c r="AN42" s="834"/>
      <c r="AO42" s="325" t="str">
        <f t="shared" ca="1" si="38"/>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25" t="str">
        <f t="shared" ca="1" si="36"/>
        <v>Een periodieke meting bestaat uit drie deelmetingen van 15-30 minuten. De metingen mogen worden uitgevoerd door een geaccrediteerd laboratorium volgens NEN-EN 13284-1(art. 4.1312).</v>
      </c>
      <c r="AQ42" s="325" t="str">
        <f t="shared" ca="1" si="36"/>
        <v>De aangetoonde meetonzekerheid mag niet groter zijn dan 30% van de emissie-eis (art. 4.1312 en art. 4.1319).</v>
      </c>
      <c r="AR42"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9"/>
      <c r="AT42" s="149"/>
      <c r="AU42" s="150"/>
      <c r="AV42" s="150"/>
      <c r="AW42" s="150"/>
      <c r="AX42" s="151"/>
    </row>
    <row r="43" spans="1:50" x14ac:dyDescent="0.2">
      <c r="A43" s="295"/>
      <c r="B43" s="339">
        <f t="shared" ca="1" si="30"/>
        <v>0</v>
      </c>
      <c r="C43" s="249">
        <f t="shared" ca="1" si="31"/>
        <v>0</v>
      </c>
      <c r="D43" s="246">
        <f t="shared" ca="1" si="32"/>
        <v>1</v>
      </c>
      <c r="E43" s="247">
        <f t="shared" ca="1" si="33"/>
        <v>1</v>
      </c>
      <c r="F43" s="247">
        <f t="shared" ca="1" si="16"/>
        <v>0</v>
      </c>
      <c r="G43" s="147">
        <f t="shared" ca="1" si="50"/>
        <v>0</v>
      </c>
      <c r="H43" s="147"/>
      <c r="I43" s="148"/>
      <c r="J43" s="147"/>
      <c r="K43" s="148"/>
      <c r="L43" s="147">
        <f ca="1">IF(AND(BRAND1&gt;=8,BRAND1&lt;=10),1,0)</f>
        <v>0</v>
      </c>
      <c r="M43" s="248">
        <f t="shared" ca="1" si="34"/>
        <v>1</v>
      </c>
      <c r="N43" s="147">
        <f ca="1">IF(AND(BRAND2&gt;=8,BRAND2&lt;=10),1,0)</f>
        <v>0</v>
      </c>
      <c r="O43" s="249">
        <f t="shared" ca="1" si="35"/>
        <v>0</v>
      </c>
      <c r="P43" s="44" t="s">
        <v>106</v>
      </c>
      <c r="Q43" s="149" t="s">
        <v>232</v>
      </c>
      <c r="R43" s="149" t="s">
        <v>206</v>
      </c>
      <c r="S43" s="149">
        <v>1</v>
      </c>
      <c r="T43" s="149">
        <v>5</v>
      </c>
      <c r="U43" s="150"/>
      <c r="V43" s="150"/>
      <c r="W43" s="150"/>
      <c r="X43" s="150"/>
      <c r="Y43" s="151"/>
      <c r="Z43" s="143"/>
      <c r="AA43" s="144"/>
      <c r="AB43" s="143"/>
      <c r="AC43" s="145"/>
      <c r="AD43" s="146"/>
      <c r="AE43" s="276" t="s">
        <v>233</v>
      </c>
      <c r="AF43" s="152" t="s">
        <v>393</v>
      </c>
      <c r="AG43" s="147"/>
      <c r="AH43" s="636" t="str">
        <f ca="1">AH42</f>
        <v xml:space="preserve"> geldt vanaf 1-1-2025 (art. 4.1337)</v>
      </c>
      <c r="AI43" s="645"/>
      <c r="AJ43" s="269"/>
      <c r="AK43" s="626"/>
      <c r="AL43" s="147"/>
      <c r="AM43" s="655"/>
      <c r="AN43" s="834"/>
      <c r="AO43" s="325" t="str">
        <f t="shared" ca="1" si="38"/>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25" t="str">
        <f t="shared" ca="1" si="36"/>
        <v>Een periodieke meting bestaat uit drie deelmetingen van 15-30 minuten. De metingen mogen worden uitgevoerd door een geaccrediteerd laboratorium volgens NEN-EN 13284-1(art. 4.1312).</v>
      </c>
      <c r="AQ43" s="325" t="str">
        <f t="shared" ca="1" si="36"/>
        <v>De aangetoonde meetonzekerheid mag niet groter zijn dan 30% van de emissie-eis (art. 4.1312 en art. 4.1319).</v>
      </c>
      <c r="AR43"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9"/>
      <c r="AT43" s="149"/>
      <c r="AU43" s="150"/>
      <c r="AV43" s="150"/>
      <c r="AW43" s="150"/>
      <c r="AX43" s="151"/>
    </row>
    <row r="44" spans="1:50" x14ac:dyDescent="0.2">
      <c r="A44" s="295"/>
      <c r="B44" s="339">
        <f t="shared" ca="1" si="30"/>
        <v>0</v>
      </c>
      <c r="C44" s="249">
        <f t="shared" ca="1" si="31"/>
        <v>0</v>
      </c>
      <c r="D44" s="246">
        <f t="shared" ca="1" si="32"/>
        <v>1</v>
      </c>
      <c r="E44" s="247">
        <f t="shared" ca="1" si="33"/>
        <v>1</v>
      </c>
      <c r="F44" s="247">
        <f t="shared" ca="1" si="16"/>
        <v>1</v>
      </c>
      <c r="G44" s="147">
        <f t="shared" ca="1" si="50"/>
        <v>0</v>
      </c>
      <c r="H44" s="147"/>
      <c r="I44" s="148"/>
      <c r="J44" s="147"/>
      <c r="K44" s="148"/>
      <c r="L44" s="147">
        <f ca="1">IF(AND(BRAND1&gt;=8,BRAND1&lt;=10),1,0)</f>
        <v>0</v>
      </c>
      <c r="M44" s="248">
        <f t="shared" ca="1" si="34"/>
        <v>1</v>
      </c>
      <c r="N44" s="147">
        <f ca="1">IF(AND(BRAND2&gt;=8,BRAND2&lt;=10),1,0)</f>
        <v>0</v>
      </c>
      <c r="O44" s="249">
        <f t="shared" ca="1" si="35"/>
        <v>0</v>
      </c>
      <c r="P44" s="44" t="s">
        <v>106</v>
      </c>
      <c r="Q44" s="149" t="s">
        <v>232</v>
      </c>
      <c r="R44" s="149" t="s">
        <v>206</v>
      </c>
      <c r="S44" s="149">
        <v>5</v>
      </c>
      <c r="T44" s="149"/>
      <c r="U44" s="150"/>
      <c r="V44" s="150"/>
      <c r="W44" s="150"/>
      <c r="X44" s="150"/>
      <c r="Y44" s="151"/>
      <c r="Z44" s="143"/>
      <c r="AA44" s="144"/>
      <c r="AB44" s="143"/>
      <c r="AC44" s="145"/>
      <c r="AD44" s="146"/>
      <c r="AE44" s="276" t="s">
        <v>233</v>
      </c>
      <c r="AF44" s="152" t="s">
        <v>372</v>
      </c>
      <c r="AG44" s="147"/>
      <c r="AH44" s="636" t="str">
        <f t="shared" ref="AH44:AH47" ca="1" si="51">AH43</f>
        <v xml:space="preserve"> geldt vanaf 1-1-2025 (art. 4.1337)</v>
      </c>
      <c r="AI44" s="645"/>
      <c r="AJ44" s="269"/>
      <c r="AK44" s="626"/>
      <c r="AL44" s="147"/>
      <c r="AM44" s="655"/>
      <c r="AN44" s="834"/>
      <c r="AO44" s="325" t="str">
        <f t="shared" ca="1" si="38"/>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25" t="str">
        <f t="shared" ca="1" si="36"/>
        <v>Een periodieke meting bestaat uit drie deelmetingen van 15-30 minuten. De metingen mogen worden uitgevoerd door een geaccrediteerd laboratorium volgens NEN-EN 13284-1(art. 4.1312).</v>
      </c>
      <c r="AQ44" s="325" t="str">
        <f t="shared" ca="1" si="36"/>
        <v>De aangetoonde meetonzekerheid mag niet groter zijn dan 30% van de emissie-eis (art. 4.1312 en art. 4.1319).</v>
      </c>
      <c r="AR44" s="349" t="str">
        <f t="shared" si="3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9"/>
      <c r="AT44" s="149"/>
      <c r="AU44" s="150"/>
      <c r="AV44" s="150"/>
      <c r="AW44" s="150"/>
      <c r="AX44" s="151"/>
    </row>
    <row r="45" spans="1:50" x14ac:dyDescent="0.2">
      <c r="A45" s="295"/>
      <c r="B45" s="339">
        <f t="shared" ca="1" si="30"/>
        <v>0</v>
      </c>
      <c r="C45" s="249">
        <f t="shared" ca="1" si="31"/>
        <v>0</v>
      </c>
      <c r="D45" s="246">
        <f t="shared" ca="1" si="32"/>
        <v>1</v>
      </c>
      <c r="E45" s="247">
        <f t="shared" ca="1" si="33"/>
        <v>1</v>
      </c>
      <c r="F45" s="247">
        <f t="shared" ca="1" si="16"/>
        <v>1</v>
      </c>
      <c r="G45" s="147">
        <f t="shared" ca="1" si="50"/>
        <v>0</v>
      </c>
      <c r="H45" s="147"/>
      <c r="I45" s="148"/>
      <c r="J45" s="147"/>
      <c r="K45" s="148"/>
      <c r="L45" s="147">
        <f ca="1">IF(BRAND1=3,1,0)</f>
        <v>0</v>
      </c>
      <c r="M45" s="248">
        <f t="shared" ca="1" si="34"/>
        <v>1</v>
      </c>
      <c r="N45" s="147">
        <f ca="1">IF(BRAND2=3,1,0)</f>
        <v>0</v>
      </c>
      <c r="O45" s="249">
        <f t="shared" ca="1" si="35"/>
        <v>0</v>
      </c>
      <c r="P45" s="44" t="s">
        <v>106</v>
      </c>
      <c r="Q45" s="149" t="s">
        <v>232</v>
      </c>
      <c r="R45" s="149" t="s">
        <v>215</v>
      </c>
      <c r="S45" s="149">
        <v>1</v>
      </c>
      <c r="T45" s="149"/>
      <c r="U45" s="150"/>
      <c r="V45" s="150"/>
      <c r="W45" s="150"/>
      <c r="X45" s="150"/>
      <c r="Y45" s="151"/>
      <c r="Z45" s="143"/>
      <c r="AA45" s="144"/>
      <c r="AB45" s="143"/>
      <c r="AC45" s="145"/>
      <c r="AD45" s="146"/>
      <c r="AE45" s="276" t="s">
        <v>233</v>
      </c>
      <c r="AF45" s="152"/>
      <c r="AG45" s="147"/>
      <c r="AH45" s="636" t="str">
        <f t="shared" ca="1" si="51"/>
        <v xml:space="preserve"> geldt vanaf 1-1-2025 (art. 4.1337)</v>
      </c>
      <c r="AI45" s="645"/>
      <c r="AJ45" s="269"/>
      <c r="AK45" s="626"/>
      <c r="AL45" s="147"/>
      <c r="AM45" s="655"/>
      <c r="AN45" s="834"/>
      <c r="AO45" s="325" t="str">
        <f t="shared" si="38"/>
        <v/>
      </c>
      <c r="AP45" s="325" t="str">
        <f t="shared" si="36"/>
        <v/>
      </c>
      <c r="AQ45" s="325" t="str">
        <f t="shared" si="36"/>
        <v/>
      </c>
      <c r="AR45" s="349" t="str">
        <f t="shared" si="36"/>
        <v/>
      </c>
      <c r="AS45" s="149"/>
      <c r="AT45" s="149"/>
      <c r="AU45" s="150"/>
      <c r="AV45" s="150"/>
      <c r="AW45" s="150"/>
      <c r="AX45" s="151"/>
    </row>
    <row r="46" spans="1:50" x14ac:dyDescent="0.2">
      <c r="A46" s="295"/>
      <c r="B46" s="339">
        <f t="shared" ca="1" si="30"/>
        <v>0</v>
      </c>
      <c r="C46" s="249">
        <f t="shared" ca="1" si="31"/>
        <v>0</v>
      </c>
      <c r="D46" s="246">
        <f t="shared" ca="1" si="32"/>
        <v>1</v>
      </c>
      <c r="E46" s="247">
        <f t="shared" ca="1" si="33"/>
        <v>1</v>
      </c>
      <c r="F46" s="247">
        <f t="shared" ca="1" si="16"/>
        <v>1</v>
      </c>
      <c r="G46" s="147">
        <f t="shared" ca="1" si="50"/>
        <v>0</v>
      </c>
      <c r="H46" s="147"/>
      <c r="I46" s="148"/>
      <c r="J46" s="147"/>
      <c r="K46" s="148"/>
      <c r="L46" s="147">
        <f ca="1">IF(BRAND1&lt;=2,1,0)</f>
        <v>1</v>
      </c>
      <c r="M46" s="248">
        <f t="shared" ca="1" si="34"/>
        <v>1</v>
      </c>
      <c r="N46" s="147">
        <f ca="1">IF(BRAND2&lt;=2,1,0)</f>
        <v>0</v>
      </c>
      <c r="O46" s="249">
        <f t="shared" ca="1" si="35"/>
        <v>0</v>
      </c>
      <c r="P46" s="44" t="s">
        <v>106</v>
      </c>
      <c r="Q46" s="149" t="s">
        <v>232</v>
      </c>
      <c r="R46" s="149" t="s">
        <v>524</v>
      </c>
      <c r="S46" s="149">
        <v>1</v>
      </c>
      <c r="T46" s="149"/>
      <c r="U46" s="150"/>
      <c r="V46" s="150"/>
      <c r="W46" s="150"/>
      <c r="X46" s="150"/>
      <c r="Y46" s="151"/>
      <c r="Z46" s="143"/>
      <c r="AA46" s="144"/>
      <c r="AB46" s="143"/>
      <c r="AC46" s="145"/>
      <c r="AD46" s="146"/>
      <c r="AE46" s="276" t="s">
        <v>233</v>
      </c>
      <c r="AF46" s="152"/>
      <c r="AG46" s="147"/>
      <c r="AH46" s="636" t="str">
        <f t="shared" ca="1" si="51"/>
        <v xml:space="preserve"> geldt vanaf 1-1-2025 (art. 4.1337)</v>
      </c>
      <c r="AI46" s="645"/>
      <c r="AJ46" s="269"/>
      <c r="AK46" s="626"/>
      <c r="AL46" s="147"/>
      <c r="AM46" s="655"/>
      <c r="AN46" s="834"/>
      <c r="AO46" s="325" t="str">
        <f t="shared" si="38"/>
        <v/>
      </c>
      <c r="AP46" s="325" t="str">
        <f t="shared" si="36"/>
        <v/>
      </c>
      <c r="AQ46" s="325" t="str">
        <f t="shared" si="36"/>
        <v/>
      </c>
      <c r="AR46" s="349" t="str">
        <f t="shared" si="36"/>
        <v/>
      </c>
      <c r="AS46" s="149"/>
      <c r="AT46" s="149"/>
      <c r="AU46" s="150"/>
      <c r="AV46" s="150"/>
      <c r="AW46" s="150"/>
      <c r="AX46" s="151"/>
    </row>
    <row r="47" spans="1:50" x14ac:dyDescent="0.2">
      <c r="A47" s="295"/>
      <c r="B47" s="339">
        <f t="shared" ca="1" si="30"/>
        <v>0</v>
      </c>
      <c r="C47" s="249">
        <f t="shared" ca="1" si="31"/>
        <v>0</v>
      </c>
      <c r="D47" s="246">
        <f t="shared" ca="1" si="32"/>
        <v>1</v>
      </c>
      <c r="E47" s="247">
        <f t="shared" ca="1" si="33"/>
        <v>1</v>
      </c>
      <c r="F47" s="247">
        <f t="shared" ca="1" si="16"/>
        <v>1</v>
      </c>
      <c r="G47" s="147">
        <f t="shared" ca="1" si="50"/>
        <v>0</v>
      </c>
      <c r="H47" s="147"/>
      <c r="I47" s="148"/>
      <c r="J47" s="147"/>
      <c r="K47" s="148"/>
      <c r="L47" s="147">
        <f ca="1">IF(OR(BRAND1=4,BRAND1=5),1,0)</f>
        <v>0</v>
      </c>
      <c r="M47" s="248">
        <f t="shared" ca="1" si="34"/>
        <v>1</v>
      </c>
      <c r="N47" s="147">
        <f ca="1">IF(OR(BRAND2=4,BRAND2=5),1,0)</f>
        <v>0</v>
      </c>
      <c r="O47" s="249">
        <f t="shared" ca="1" si="35"/>
        <v>0</v>
      </c>
      <c r="P47" s="44" t="s">
        <v>106</v>
      </c>
      <c r="Q47" s="149" t="s">
        <v>232</v>
      </c>
      <c r="R47" s="149" t="s">
        <v>217</v>
      </c>
      <c r="S47" s="149">
        <v>1</v>
      </c>
      <c r="T47" s="149"/>
      <c r="U47" s="150"/>
      <c r="V47" s="150"/>
      <c r="W47" s="150"/>
      <c r="X47" s="150"/>
      <c r="Y47" s="151"/>
      <c r="Z47" s="143"/>
      <c r="AA47" s="144"/>
      <c r="AB47" s="143"/>
      <c r="AC47" s="145"/>
      <c r="AD47" s="146"/>
      <c r="AE47" s="276" t="s">
        <v>233</v>
      </c>
      <c r="AF47" s="152"/>
      <c r="AG47" s="147"/>
      <c r="AH47" s="636" t="str">
        <f t="shared" ca="1" si="51"/>
        <v xml:space="preserve"> geldt vanaf 1-1-2025 (art. 4.1337)</v>
      </c>
      <c r="AI47" s="645"/>
      <c r="AJ47" s="269"/>
      <c r="AK47" s="626"/>
      <c r="AL47" s="147"/>
      <c r="AM47" s="655"/>
      <c r="AN47" s="834"/>
      <c r="AO47" s="325" t="str">
        <f t="shared" si="38"/>
        <v/>
      </c>
      <c r="AP47" s="325" t="str">
        <f t="shared" si="36"/>
        <v/>
      </c>
      <c r="AQ47" s="325" t="str">
        <f t="shared" si="36"/>
        <v/>
      </c>
      <c r="AR47" s="349" t="str">
        <f t="shared" si="36"/>
        <v/>
      </c>
      <c r="AS47" s="149"/>
      <c r="AT47" s="149"/>
      <c r="AU47" s="150"/>
      <c r="AV47" s="150"/>
      <c r="AW47" s="150"/>
      <c r="AX47" s="151"/>
    </row>
    <row r="48" spans="1:50" x14ac:dyDescent="0.2">
      <c r="A48" s="295"/>
      <c r="B48" s="340"/>
      <c r="C48" s="341"/>
      <c r="D48" s="326"/>
      <c r="E48" s="46"/>
      <c r="F48" s="46"/>
      <c r="G48" s="147"/>
      <c r="H48" s="147"/>
      <c r="I48" s="148"/>
      <c r="J48" s="147"/>
      <c r="K48" s="148"/>
      <c r="L48" s="147"/>
      <c r="M48" s="56"/>
      <c r="N48" s="147"/>
      <c r="O48" s="59"/>
      <c r="P48" s="279"/>
      <c r="Q48" s="160"/>
      <c r="R48" s="149"/>
      <c r="S48" s="149"/>
      <c r="T48" s="149"/>
      <c r="U48" s="150"/>
      <c r="V48" s="150"/>
      <c r="W48" s="150"/>
      <c r="X48" s="150"/>
      <c r="Y48" s="151"/>
      <c r="Z48" s="143"/>
      <c r="AA48" s="144"/>
      <c r="AB48" s="143"/>
      <c r="AC48" s="145"/>
      <c r="AD48" s="146"/>
      <c r="AE48" s="276"/>
      <c r="AF48" s="152"/>
      <c r="AG48" s="147"/>
      <c r="AH48" s="636"/>
      <c r="AI48" s="645"/>
      <c r="AJ48" s="269"/>
      <c r="AK48" s="626"/>
      <c r="AL48" s="147"/>
      <c r="AM48" s="655"/>
      <c r="AN48" s="852"/>
      <c r="AO48" s="684"/>
      <c r="AP48" s="684"/>
      <c r="AQ48" s="684"/>
      <c r="AR48" s="156"/>
      <c r="AS48" s="149"/>
      <c r="AT48" s="155"/>
      <c r="AU48" s="157"/>
      <c r="AV48" s="157"/>
      <c r="AW48" s="157"/>
      <c r="AX48" s="151"/>
    </row>
    <row r="49" spans="1:50" x14ac:dyDescent="0.2">
      <c r="A49" s="363" t="s">
        <v>339</v>
      </c>
      <c r="B49" s="364"/>
      <c r="C49" s="365"/>
      <c r="D49" s="366"/>
      <c r="E49" s="367"/>
      <c r="F49" s="367"/>
      <c r="G49" s="368"/>
      <c r="H49" s="368"/>
      <c r="I49" s="369"/>
      <c r="J49" s="368"/>
      <c r="K49" s="369"/>
      <c r="L49" s="368"/>
      <c r="M49" s="370"/>
      <c r="N49" s="368"/>
      <c r="O49" s="371"/>
      <c r="P49" s="372"/>
      <c r="Q49" s="373"/>
      <c r="R49" s="374"/>
      <c r="S49" s="374"/>
      <c r="T49" s="374"/>
      <c r="U49" s="375"/>
      <c r="V49" s="375"/>
      <c r="W49" s="375"/>
      <c r="X49" s="375"/>
      <c r="Y49" s="376"/>
      <c r="Z49" s="377"/>
      <c r="AA49" s="378"/>
      <c r="AB49" s="377"/>
      <c r="AC49" s="379"/>
      <c r="AD49" s="380"/>
      <c r="AE49" s="381"/>
      <c r="AF49" s="382"/>
      <c r="AG49" s="368"/>
      <c r="AH49" s="637"/>
      <c r="AI49" s="646"/>
      <c r="AJ49" s="383"/>
      <c r="AK49" s="627"/>
      <c r="AL49" s="368"/>
      <c r="AM49" s="656"/>
      <c r="AN49" s="836"/>
      <c r="AO49" s="333" t="str">
        <f ca="1">CONCATENATE("Bij van toepassing worden van een emissie-eis wordt een periodieke meting uitgevoerd",IF(OR(MW&lt;1,Offshore),IF(TSI&lt;0," en vervolgens vierjaarlijks",""),IF(MW&gt;20," en vervolgens jaarlijks"," en vervolgens driejaarlijks"))," (art. 4.1314). ",IF(OR(MW&lt;1,INGVAN&gt;=IWTMCP),"",CONCATENATE("Tot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lid",IF(AND(MW&lt;1,INGTOT&lt;IWTBAL)," en 4.1330a.","."))</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33" t="str">
        <f ca="1">CONCATENATE("Een periodieke meting bestaat uit drie deelmetingen van 15-30 minuten. De metingen mogen worden uitgevoerd door een geaccrediteerd laboratorium volgens NEN-EN 13284-1",IF(MW&lt;1," of door een SCIOS gecertificeerd bedrijf volgens scope 6",""),"(art. 4.1312).")</f>
        <v>Een periodieke meting bestaat uit drie deelmetingen van 15-30 minuten. De metingen mogen worden uitgevoerd door een geaccrediteerd laboratorium volgens NEN-EN 13284-1(art. 4.1312).</v>
      </c>
      <c r="AQ49" s="346" t="str">
        <f ca="1">CONCATENATE("De aangetoonde meetonzekerheid mag niet groter zijn dan 30% van de emissie-eis",IF(MW&lt;1,"(of 40% bij periodieke metingen)","")," (art. 4.1312 en art. 4.1319).")</f>
        <v>De aangetoonde meetonzekerheid mag niet groter zijn dan 30% van de emissie-eis (art. 4.1312 en art. 4.1319).</v>
      </c>
      <c r="AR49" s="346" t="s">
        <v>247</v>
      </c>
      <c r="AS49" s="346"/>
      <c r="AT49" s="336"/>
      <c r="AU49" s="337"/>
      <c r="AV49" s="337"/>
      <c r="AW49" s="337"/>
      <c r="AX49" s="335"/>
    </row>
    <row r="50" spans="1:50" x14ac:dyDescent="0.2">
      <c r="A50" s="295"/>
      <c r="B50" s="745">
        <f t="shared" ref="B50:B54" ca="1" si="52">IF(AND(SUM(D50:K50,L50:M50)=COUNT(D50:K50,L50:M50),COUNT(D50:K50,L50:M50)&gt;0),ROW(B50),0)</f>
        <v>0</v>
      </c>
      <c r="C50" s="746">
        <f t="shared" ref="C50:C54" ca="1" si="53">IF(AND(SUM(D50:K50,N50:O50)=COUNT(D50:K50,N50:O50),COUNT(D50:K50,N50:O50)&gt;0),ROW(B50),0)</f>
        <v>0</v>
      </c>
      <c r="D50" s="747">
        <f t="shared" ref="D50:D55" ca="1" si="54">IF(AND(OR($Z50="",INGVAN="",$Z50&lt;=INGVAN),OR($Z50="",INGTOT="",$Z50&lt;=INGTOT),OR($AA50="",INGVAN="",$AA50&gt;=INGVAN),OR($AA50="",INGTOT="",$AA50&gt;=INGTOT)),1,0)</f>
        <v>0</v>
      </c>
      <c r="E50" s="748">
        <f t="shared" ref="E50:E54" ca="1" si="55">IF(AND(OR($AB50="",Tdatum&gt;=$AB50,AND(AB50&lt;&gt;"",ISNUMBER(FIND("j",LOWER(AD50))))),OR($AC50="",Tdatum&lt;=$AC50)),1,0)</f>
        <v>1</v>
      </c>
      <c r="F50" s="748">
        <f t="shared" ref="F50:F55" ca="1" si="56">IF(AND(OR($S50="",MW&gt;=$S50),OR($T50="",$T50&gt;MW)),1,0)</f>
        <v>0</v>
      </c>
      <c r="G50" s="749">
        <f t="shared" ref="G50:G55" ca="1" si="57">IF(SI&lt;=2,1,0)</f>
        <v>1</v>
      </c>
      <c r="H50" s="749"/>
      <c r="I50" s="750"/>
      <c r="J50" s="749"/>
      <c r="K50" s="750"/>
      <c r="L50" s="749">
        <f t="shared" ref="L50:L55" ca="1" si="58">IF(AND(BRAND1&gt;=8,BRAND1&lt;=10),1,0)</f>
        <v>0</v>
      </c>
      <c r="M50" s="751">
        <f t="shared" ref="M50:M54" ca="1" si="59">IF(AND(ParBAL1&lt;&gt;"",ParBAL1=P50),1,0)</f>
        <v>1</v>
      </c>
      <c r="N50" s="749">
        <f t="shared" ref="N50:N55" ca="1" si="60">IF(AND(BRAND2&gt;=8,BRAND2&lt;=10),1,0)</f>
        <v>0</v>
      </c>
      <c r="O50" s="746">
        <f t="shared" ref="O50:O55" ca="1" si="61">IF(AND(ParBAL2&lt;&gt;"",ParBAL2=P50),1,0)</f>
        <v>0</v>
      </c>
      <c r="P50" s="752" t="s">
        <v>106</v>
      </c>
      <c r="Q50" s="753" t="s">
        <v>204</v>
      </c>
      <c r="R50" s="753" t="s">
        <v>206</v>
      </c>
      <c r="S50" s="754">
        <v>0.1</v>
      </c>
      <c r="T50" s="753">
        <v>1</v>
      </c>
      <c r="U50" s="755"/>
      <c r="V50" s="755"/>
      <c r="W50" s="755"/>
      <c r="X50" s="755"/>
      <c r="Y50" s="756"/>
      <c r="Z50" s="757">
        <f>SCPbestbio</f>
        <v>42005</v>
      </c>
      <c r="AA50" s="758">
        <f>IWTBAL-1</f>
        <v>45291</v>
      </c>
      <c r="AB50" s="757"/>
      <c r="AC50" s="759"/>
      <c r="AD50" s="760"/>
      <c r="AE50" s="761" t="s">
        <v>387</v>
      </c>
      <c r="AF50" s="762" t="s">
        <v>367</v>
      </c>
      <c r="AG50" s="153"/>
      <c r="AH50" s="636"/>
      <c r="AI50" s="645"/>
      <c r="AJ50" s="269"/>
      <c r="AK50" s="630"/>
      <c r="AL50" s="153"/>
      <c r="AM50" s="655"/>
      <c r="AN50" s="834"/>
      <c r="AO50" s="325" t="str">
        <f ca="1">IF($AF50="","",AO$49)</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25" t="str">
        <f t="shared" ref="AP50:AR55" ca="1" si="62">IF($AF50="","",AP$21)</f>
        <v>Een periodieke meting bestaat uit drie deelmetingen van 15-30 minuten. De metingen mogen worden uitgevoerd door een geaccrediteerd laboratorium volgens NEN-EN 13284-1(art. 4.1312).</v>
      </c>
      <c r="AQ50" s="325" t="str">
        <f t="shared" ca="1" si="62"/>
        <v>De aangetoonde meetonzekerheid mag niet groter zijn dan 30% van de emissie-eis (art. 4.1312 en art. 4.1319).</v>
      </c>
      <c r="AR50" s="349" t="str">
        <f t="shared" si="6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9"/>
      <c r="AT50" s="149"/>
      <c r="AU50" s="150"/>
      <c r="AV50" s="150"/>
      <c r="AW50" s="150"/>
      <c r="AX50" s="158"/>
    </row>
    <row r="51" spans="1:50" x14ac:dyDescent="0.2">
      <c r="A51" s="295"/>
      <c r="B51" s="745">
        <f t="shared" ref="B51" ca="1" si="63">IF(AND(SUM(D51:K51,L51:M51)=COUNT(D51:K51,L51:M51),COUNT(D51:K51,L51:M51)&gt;0),ROW(B51),0)</f>
        <v>0</v>
      </c>
      <c r="C51" s="746">
        <f t="shared" ref="C51" ca="1" si="64">IF(AND(SUM(D51:K51,N51:O51)=COUNT(D51:K51,N51:O51),COUNT(D51:K51,N51:O51)&gt;0),ROW(B51),0)</f>
        <v>0</v>
      </c>
      <c r="D51" s="747">
        <f ca="1">IF(AND(OR($Z51="",INGVAN="",$Z51&lt;=INGVAN),OR($Z51="",INGTOT="",$Z51&lt;=INGTOT),OR($AA51="",INGVAN="",$AA51&gt;=INGVAN),OR($AA51="",INGTOT="",$AA51&gt;=INGTOT)),1,0)</f>
        <v>1</v>
      </c>
      <c r="E51" s="748">
        <f ca="1">IF(AND(OR($AB51="",Tdatum&gt;=$AB51,AND(AB51&lt;&gt;"",ISNUMBER(FIND("j",LOWER(AD51))))),OR($AC51="",Tdatum&lt;=$AC51)),1,0)</f>
        <v>1</v>
      </c>
      <c r="F51" s="748">
        <f ca="1">IF(AND(OR($S51="",MW&gt;=$S51),OR($T51="",$T51&gt;MW)),1,0)</f>
        <v>0</v>
      </c>
      <c r="G51" s="749">
        <f ca="1">IF(SI&lt;=2,1,0)</f>
        <v>1</v>
      </c>
      <c r="H51" s="749"/>
      <c r="I51" s="750"/>
      <c r="J51" s="749"/>
      <c r="K51" s="750"/>
      <c r="L51" s="749">
        <f ca="1">IF(AND(BRAND1&gt;=8,BRAND1&lt;=10),1,0)</f>
        <v>0</v>
      </c>
      <c r="M51" s="751">
        <f t="shared" ref="M51" ca="1" si="65">IF(AND(ParBAL1&lt;&gt;"",ParBAL1=P51),1,0)</f>
        <v>1</v>
      </c>
      <c r="N51" s="749">
        <f ca="1">IF(AND(BRAND2&gt;=8,BRAND2&lt;=10),1,0)</f>
        <v>0</v>
      </c>
      <c r="O51" s="746">
        <f ca="1">IF(AND(ParBAL2&lt;&gt;"",ParBAL2=P51),1,0)</f>
        <v>0</v>
      </c>
      <c r="P51" s="752" t="s">
        <v>106</v>
      </c>
      <c r="Q51" s="753" t="s">
        <v>204</v>
      </c>
      <c r="R51" s="753" t="s">
        <v>206</v>
      </c>
      <c r="S51" s="754">
        <v>0.1</v>
      </c>
      <c r="T51" s="753">
        <v>1</v>
      </c>
      <c r="U51" s="755"/>
      <c r="V51" s="755"/>
      <c r="W51" s="755"/>
      <c r="X51" s="755"/>
      <c r="Y51" s="756"/>
      <c r="Z51" s="757"/>
      <c r="AA51" s="758">
        <f>SCPbest-1</f>
        <v>41274</v>
      </c>
      <c r="AB51" s="757"/>
      <c r="AC51" s="759"/>
      <c r="AD51" s="760"/>
      <c r="AE51" s="761" t="s">
        <v>387</v>
      </c>
      <c r="AF51" s="762" t="s">
        <v>367</v>
      </c>
      <c r="AG51" s="153"/>
      <c r="AH51" s="636" t="str">
        <f ca="1">IF(Tdatum&lt;DATEVALUE("1-1-2027"),CONCATENATE(" geldt vanaf 1-1-2027",IF(INGTOT&lt;SCPbest," of vanaf een ingrijpende wijziging (art. 4.1332 3e en 5e lid)."," (art. 4.1332 5e lid).")),"")</f>
        <v xml:space="preserve"> geldt vanaf 1-1-2027 of vanaf een ingrijpende wijziging (art. 4.1332 3e en 5e lid).</v>
      </c>
      <c r="AI51" s="645"/>
      <c r="AJ51" s="269"/>
      <c r="AK51" s="630"/>
      <c r="AL51" s="153"/>
      <c r="AM51" s="655"/>
      <c r="AN51" s="834"/>
      <c r="AO51" s="325" t="str">
        <f t="shared" ref="AO51:AO56" ca="1" si="66">IF($AF51="","",AO$49)</f>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25" t="str">
        <f ca="1">IF($AF51="","",AP$21)</f>
        <v>Een periodieke meting bestaat uit drie deelmetingen van 15-30 minuten. De metingen mogen worden uitgevoerd door een geaccrediteerd laboratorium volgens NEN-EN 13284-1(art. 4.1312).</v>
      </c>
      <c r="AQ51" s="325" t="str">
        <f ca="1">IF($AF51="","",AQ$21)</f>
        <v>De aangetoonde meetonzekerheid mag niet groter zijn dan 30% van de emissie-eis (art. 4.1312 en art. 4.1319).</v>
      </c>
      <c r="AR51" s="349" t="str">
        <f>IF($AF51="","",AR$21)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9"/>
      <c r="AT51" s="149"/>
      <c r="AU51" s="150"/>
      <c r="AV51" s="150"/>
      <c r="AW51" s="150"/>
      <c r="AX51" s="158"/>
    </row>
    <row r="52" spans="1:50" x14ac:dyDescent="0.2">
      <c r="A52" s="295"/>
      <c r="B52" s="745">
        <f t="shared" ref="B52" ca="1" si="67">IF(AND(SUM(D52:K52,L52:M52)=COUNT(D52:K52,L52:M52),COUNT(D52:K52,L52:M52)&gt;0),ROW(B52),0)</f>
        <v>0</v>
      </c>
      <c r="C52" s="746">
        <f t="shared" ref="C52" ca="1" si="68">IF(AND(SUM(D52:K52,N52:O52)=COUNT(D52:K52,N52:O52),COUNT(D52:K52,N52:O52)&gt;0),ROW(B52),0)</f>
        <v>0</v>
      </c>
      <c r="D52" s="747">
        <f t="shared" ca="1" si="54"/>
        <v>0</v>
      </c>
      <c r="E52" s="748">
        <f t="shared" ref="E52" ca="1" si="69">IF(AND(OR($AB52="",Tdatum&gt;=$AB52,AND(AB52&lt;&gt;"",ISNUMBER(FIND("j",LOWER(AD52))))),OR($AC52="",Tdatum&lt;=$AC52)),1,0)</f>
        <v>1</v>
      </c>
      <c r="F52" s="748">
        <f t="shared" ca="1" si="56"/>
        <v>0</v>
      </c>
      <c r="G52" s="749">
        <f t="shared" ca="1" si="57"/>
        <v>1</v>
      </c>
      <c r="H52" s="749"/>
      <c r="I52" s="750"/>
      <c r="J52" s="749"/>
      <c r="K52" s="750"/>
      <c r="L52" s="749">
        <f t="shared" ca="1" si="58"/>
        <v>0</v>
      </c>
      <c r="M52" s="751">
        <f t="shared" ref="M52" ca="1" si="70">IF(AND(ParBAL1&lt;&gt;"",ParBAL1=P52),1,0)</f>
        <v>1</v>
      </c>
      <c r="N52" s="749">
        <f t="shared" ca="1" si="60"/>
        <v>0</v>
      </c>
      <c r="O52" s="746">
        <f t="shared" ca="1" si="61"/>
        <v>0</v>
      </c>
      <c r="P52" s="752" t="s">
        <v>106</v>
      </c>
      <c r="Q52" s="753" t="s">
        <v>204</v>
      </c>
      <c r="R52" s="753" t="s">
        <v>206</v>
      </c>
      <c r="S52" s="754">
        <v>0.1</v>
      </c>
      <c r="T52" s="753">
        <v>0.5</v>
      </c>
      <c r="U52" s="755"/>
      <c r="V52" s="755"/>
      <c r="W52" s="755"/>
      <c r="X52" s="755"/>
      <c r="Y52" s="756"/>
      <c r="Z52" s="757">
        <f>SCPbest</f>
        <v>41275</v>
      </c>
      <c r="AA52" s="758">
        <f>SCPbestbio-1</f>
        <v>42004</v>
      </c>
      <c r="AB52" s="757"/>
      <c r="AC52" s="759"/>
      <c r="AD52" s="760"/>
      <c r="AE52" s="761" t="s">
        <v>387</v>
      </c>
      <c r="AF52" s="762" t="s">
        <v>367</v>
      </c>
      <c r="AG52" s="153"/>
      <c r="AH52" s="636" t="str">
        <f ca="1">IF(Tdatum&lt;DATEVALUE("1-1-2027"),CONCATENATE(" geldt vanaf 1-1-2027 tot dan is de eis 150 ",$A$2," (art. 4.1332 4e en 5e lid);."),"")</f>
        <v xml:space="preserve"> geldt vanaf 1-1-2027 tot dan is de eis 150 mg/Nm³ (art. 4.1332 4e en 5e lid);.</v>
      </c>
      <c r="AI52" s="645"/>
      <c r="AJ52" s="269"/>
      <c r="AK52" s="630"/>
      <c r="AL52" s="153"/>
      <c r="AM52" s="655"/>
      <c r="AN52" s="834"/>
      <c r="AO52" s="325" t="str">
        <f t="shared" ca="1" si="66"/>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25" t="str">
        <f t="shared" ca="1" si="62"/>
        <v>Een periodieke meting bestaat uit drie deelmetingen van 15-30 minuten. De metingen mogen worden uitgevoerd door een geaccrediteerd laboratorium volgens NEN-EN 13284-1(art. 4.1312).</v>
      </c>
      <c r="AQ52" s="325" t="str">
        <f t="shared" ca="1" si="62"/>
        <v>De aangetoonde meetonzekerheid mag niet groter zijn dan 30% van de emissie-eis (art. 4.1312 en art. 4.1319).</v>
      </c>
      <c r="AR52" s="349" t="str">
        <f t="shared" si="6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9"/>
      <c r="AT52" s="149"/>
      <c r="AU52" s="150"/>
      <c r="AV52" s="150"/>
      <c r="AW52" s="150"/>
      <c r="AX52" s="158"/>
    </row>
    <row r="53" spans="1:50" x14ac:dyDescent="0.2">
      <c r="A53" s="295"/>
      <c r="B53" s="745">
        <f t="shared" ref="B53" ca="1" si="71">IF(AND(SUM(D53:K53,L53:M53)=COUNT(D53:K53,L53:M53),COUNT(D53:K53,L53:M53)&gt;0),ROW(B53),0)</f>
        <v>0</v>
      </c>
      <c r="C53" s="746">
        <f t="shared" ref="C53" ca="1" si="72">IF(AND(SUM(D53:K53,N53:O53)=COUNT(D53:K53,N53:O53),COUNT(D53:K53,N53:O53)&gt;0),ROW(B53),0)</f>
        <v>0</v>
      </c>
      <c r="D53" s="747">
        <f t="shared" ca="1" si="54"/>
        <v>0</v>
      </c>
      <c r="E53" s="748">
        <f t="shared" ref="E53" ca="1" si="73">IF(AND(OR($AB53="",Tdatum&gt;=$AB53,AND(AB53&lt;&gt;"",ISNUMBER(FIND("j",LOWER(AD53))))),OR($AC53="",Tdatum&lt;=$AC53)),1,0)</f>
        <v>1</v>
      </c>
      <c r="F53" s="748">
        <f t="shared" ca="1" si="56"/>
        <v>0</v>
      </c>
      <c r="G53" s="749">
        <f t="shared" ca="1" si="57"/>
        <v>1</v>
      </c>
      <c r="H53" s="749"/>
      <c r="I53" s="750"/>
      <c r="J53" s="749"/>
      <c r="K53" s="750"/>
      <c r="L53" s="749">
        <f t="shared" ca="1" si="58"/>
        <v>0</v>
      </c>
      <c r="M53" s="751">
        <f t="shared" ref="M53" ca="1" si="74">IF(AND(ParBAL1&lt;&gt;"",ParBAL1=P53),1,0)</f>
        <v>1</v>
      </c>
      <c r="N53" s="749">
        <f t="shared" ca="1" si="60"/>
        <v>0</v>
      </c>
      <c r="O53" s="746">
        <f t="shared" ca="1" si="61"/>
        <v>0</v>
      </c>
      <c r="P53" s="752" t="s">
        <v>106</v>
      </c>
      <c r="Q53" s="753" t="s">
        <v>204</v>
      </c>
      <c r="R53" s="753" t="s">
        <v>206</v>
      </c>
      <c r="S53" s="754">
        <v>0.5</v>
      </c>
      <c r="T53" s="753">
        <v>1</v>
      </c>
      <c r="U53" s="755"/>
      <c r="V53" s="755"/>
      <c r="W53" s="755"/>
      <c r="X53" s="755"/>
      <c r="Y53" s="756"/>
      <c r="Z53" s="757">
        <f>SCPbest</f>
        <v>41275</v>
      </c>
      <c r="AA53" s="758">
        <f>SCPbestbio-1</f>
        <v>42004</v>
      </c>
      <c r="AB53" s="757"/>
      <c r="AC53" s="759"/>
      <c r="AD53" s="760"/>
      <c r="AE53" s="761" t="s">
        <v>387</v>
      </c>
      <c r="AF53" s="762" t="s">
        <v>367</v>
      </c>
      <c r="AG53" s="153"/>
      <c r="AH53" s="636" t="str">
        <f ca="1">IF(Tdatum&lt;DATEVALUE("1-1-2027"),CONCATENATE(" geldt vanaf 1-1-2027 tot dan is de eis 75 ",$A$2," (art. 4.1332 4e en 5e lid);."),"")</f>
        <v xml:space="preserve"> geldt vanaf 1-1-2027 tot dan is de eis 75 mg/Nm³ (art. 4.1332 4e en 5e lid);.</v>
      </c>
      <c r="AI53" s="645"/>
      <c r="AJ53" s="269"/>
      <c r="AK53" s="630"/>
      <c r="AL53" s="153"/>
      <c r="AM53" s="655"/>
      <c r="AN53" s="834"/>
      <c r="AO53" s="325" t="str">
        <f t="shared" ca="1" si="66"/>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3" s="325" t="str">
        <f t="shared" ca="1" si="62"/>
        <v>Een periodieke meting bestaat uit drie deelmetingen van 15-30 minuten. De metingen mogen worden uitgevoerd door een geaccrediteerd laboratorium volgens NEN-EN 13284-1(art. 4.1312).</v>
      </c>
      <c r="AQ53" s="325" t="str">
        <f t="shared" ca="1" si="62"/>
        <v>De aangetoonde meetonzekerheid mag niet groter zijn dan 30% van de emissie-eis (art. 4.1312 en art. 4.1319).</v>
      </c>
      <c r="AR53" s="349" t="str">
        <f t="shared" si="6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3" s="149"/>
      <c r="AT53" s="149"/>
      <c r="AU53" s="150"/>
      <c r="AV53" s="150"/>
      <c r="AW53" s="150"/>
      <c r="AX53" s="158"/>
    </row>
    <row r="54" spans="1:50" x14ac:dyDescent="0.2">
      <c r="A54" s="295"/>
      <c r="B54" s="745">
        <f t="shared" ca="1" si="52"/>
        <v>0</v>
      </c>
      <c r="C54" s="746">
        <f t="shared" ca="1" si="53"/>
        <v>0</v>
      </c>
      <c r="D54" s="747">
        <f t="shared" ca="1" si="54"/>
        <v>1</v>
      </c>
      <c r="E54" s="748">
        <f t="shared" ca="1" si="55"/>
        <v>1</v>
      </c>
      <c r="F54" s="748">
        <f t="shared" ca="1" si="56"/>
        <v>0</v>
      </c>
      <c r="G54" s="749">
        <f t="shared" ca="1" si="57"/>
        <v>1</v>
      </c>
      <c r="H54" s="749"/>
      <c r="I54" s="750"/>
      <c r="J54" s="749"/>
      <c r="K54" s="750"/>
      <c r="L54" s="749">
        <f t="shared" ca="1" si="58"/>
        <v>0</v>
      </c>
      <c r="M54" s="751">
        <f t="shared" ca="1" si="59"/>
        <v>1</v>
      </c>
      <c r="N54" s="749">
        <f t="shared" ca="1" si="60"/>
        <v>0</v>
      </c>
      <c r="O54" s="746">
        <f t="shared" ca="1" si="61"/>
        <v>0</v>
      </c>
      <c r="P54" s="752" t="s">
        <v>106</v>
      </c>
      <c r="Q54" s="753" t="s">
        <v>204</v>
      </c>
      <c r="R54" s="753" t="s">
        <v>206</v>
      </c>
      <c r="S54" s="753">
        <v>1</v>
      </c>
      <c r="T54" s="753">
        <v>5</v>
      </c>
      <c r="U54" s="755"/>
      <c r="V54" s="755"/>
      <c r="W54" s="755"/>
      <c r="X54" s="755"/>
      <c r="Y54" s="756"/>
      <c r="Z54" s="757"/>
      <c r="AA54" s="758">
        <f>IWTBAL-1</f>
        <v>45291</v>
      </c>
      <c r="AB54" s="757"/>
      <c r="AC54" s="759"/>
      <c r="AD54" s="760"/>
      <c r="AE54" s="761" t="s">
        <v>387</v>
      </c>
      <c r="AF54" s="762" t="s">
        <v>393</v>
      </c>
      <c r="AG54" s="153"/>
      <c r="AH54" s="636"/>
      <c r="AI54" s="645"/>
      <c r="AJ54" s="269"/>
      <c r="AK54" s="630"/>
      <c r="AL54" s="153"/>
      <c r="AM54" s="655"/>
      <c r="AN54" s="834"/>
      <c r="AO54" s="325" t="str">
        <f t="shared" ca="1" si="66"/>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4" s="325" t="str">
        <f t="shared" ca="1" si="62"/>
        <v>Een periodieke meting bestaat uit drie deelmetingen van 15-30 minuten. De metingen mogen worden uitgevoerd door een geaccrediteerd laboratorium volgens NEN-EN 13284-1(art. 4.1312).</v>
      </c>
      <c r="AQ54" s="325" t="str">
        <f t="shared" ca="1" si="62"/>
        <v>De aangetoonde meetonzekerheid mag niet groter zijn dan 30% van de emissie-eis (art. 4.1312 en art. 4.1319).</v>
      </c>
      <c r="AR54" s="349" t="str">
        <f t="shared" si="6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4" s="149"/>
      <c r="AT54" s="149"/>
      <c r="AU54" s="150"/>
      <c r="AV54" s="150"/>
      <c r="AW54" s="150"/>
      <c r="AX54" s="151"/>
    </row>
    <row r="55" spans="1:50" x14ac:dyDescent="0.2">
      <c r="A55" s="295"/>
      <c r="B55" s="745">
        <f t="shared" ref="B55" ca="1" si="75">IF(AND(SUM(D55:K55,L55:M55)=COUNT(D55:K55,L55:M55),COUNT(D55:K55,L55:M55)&gt;0),ROW(B55),0)</f>
        <v>0</v>
      </c>
      <c r="C55" s="746">
        <f t="shared" ref="C55" ca="1" si="76">IF(AND(SUM(D55:K55,N55:O55)=COUNT(D55:K55,N55:O55),COUNT(D55:K55,N55:O55)&gt;0),ROW(B55),0)</f>
        <v>0</v>
      </c>
      <c r="D55" s="747">
        <f t="shared" ca="1" si="54"/>
        <v>1</v>
      </c>
      <c r="E55" s="748">
        <f t="shared" ref="E55" ca="1" si="77">IF(AND(OR($AB55="",Tdatum&gt;=$AB55,AND(AB55&lt;&gt;"",ISNUMBER(FIND("j",LOWER(AD55))))),OR($AC55="",Tdatum&lt;=$AC55)),1,0)</f>
        <v>1</v>
      </c>
      <c r="F55" s="748">
        <f t="shared" ca="1" si="56"/>
        <v>1</v>
      </c>
      <c r="G55" s="749">
        <f t="shared" ca="1" si="57"/>
        <v>1</v>
      </c>
      <c r="H55" s="749"/>
      <c r="I55" s="750"/>
      <c r="J55" s="749"/>
      <c r="K55" s="750"/>
      <c r="L55" s="749">
        <f t="shared" ca="1" si="58"/>
        <v>0</v>
      </c>
      <c r="M55" s="751">
        <f t="shared" ref="M55" ca="1" si="78">IF(AND(ParBAL1&lt;&gt;"",ParBAL1=P55),1,0)</f>
        <v>1</v>
      </c>
      <c r="N55" s="749">
        <f t="shared" ca="1" si="60"/>
        <v>0</v>
      </c>
      <c r="O55" s="746">
        <f t="shared" ca="1" si="61"/>
        <v>0</v>
      </c>
      <c r="P55" s="752" t="s">
        <v>106</v>
      </c>
      <c r="Q55" s="753" t="s">
        <v>204</v>
      </c>
      <c r="R55" s="753" t="s">
        <v>206</v>
      </c>
      <c r="S55" s="753">
        <v>5</v>
      </c>
      <c r="T55" s="753"/>
      <c r="U55" s="755"/>
      <c r="V55" s="755"/>
      <c r="W55" s="755"/>
      <c r="X55" s="755"/>
      <c r="Y55" s="756"/>
      <c r="Z55" s="757"/>
      <c r="AA55" s="758">
        <f>IWTBAL-1</f>
        <v>45291</v>
      </c>
      <c r="AB55" s="757"/>
      <c r="AC55" s="759"/>
      <c r="AD55" s="760"/>
      <c r="AE55" s="761" t="s">
        <v>387</v>
      </c>
      <c r="AF55" s="762" t="s">
        <v>372</v>
      </c>
      <c r="AG55" s="153"/>
      <c r="AH55" s="636"/>
      <c r="AI55" s="645"/>
      <c r="AJ55" s="269"/>
      <c r="AK55" s="630"/>
      <c r="AL55" s="153"/>
      <c r="AM55" s="655"/>
      <c r="AN55" s="834"/>
      <c r="AO55" s="325" t="str">
        <f t="shared" ca="1" si="66"/>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5" s="325" t="str">
        <f t="shared" ca="1" si="62"/>
        <v>Een periodieke meting bestaat uit drie deelmetingen van 15-30 minuten. De metingen mogen worden uitgevoerd door een geaccrediteerd laboratorium volgens NEN-EN 13284-1(art. 4.1312).</v>
      </c>
      <c r="AQ55" s="325" t="str">
        <f t="shared" ca="1" si="62"/>
        <v>De aangetoonde meetonzekerheid mag niet groter zijn dan 30% van de emissie-eis (art. 4.1312 en art. 4.1319).</v>
      </c>
      <c r="AR55" s="349" t="str">
        <f t="shared" si="6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5" s="149"/>
      <c r="AT55" s="149"/>
      <c r="AU55" s="150"/>
      <c r="AV55" s="150"/>
      <c r="AW55" s="150"/>
      <c r="AX55" s="151"/>
    </row>
    <row r="56" spans="1:50" x14ac:dyDescent="0.2">
      <c r="A56" s="295"/>
      <c r="B56" s="339">
        <f t="shared" ref="B56" ca="1" si="79">IF(AND(SUM(D56:K56,L56:M56)=COUNT(D56:K56,L56:M56),COUNT(D56:K56,L56:M56)&gt;0),ROW(B56),0)</f>
        <v>0</v>
      </c>
      <c r="C56" s="249">
        <f t="shared" ref="C56" ca="1" si="80">IF(AND(SUM(D56:K56,N56:O56)=COUNT(D56:K56,N56:O56),COUNT(D56:K56,N56:O56)&gt;0),ROW(B56),0)</f>
        <v>0</v>
      </c>
      <c r="D56" s="246">
        <f t="shared" ref="D56" ca="1" si="81">IF(AND(OR($Z56="",INGVAN="",$Z56&lt;=INGVAN),OR($Z56="",INGTOT="",$Z56&lt;=INGTOT),OR($AA56="",INGVAN="",$AA56&gt;=INGVAN),OR($AA56="",INGTOT="",$AA56&gt;=INGTOT)),1,0)</f>
        <v>1</v>
      </c>
      <c r="E56" s="247">
        <f t="shared" ref="E56" ca="1" si="82">IF(AND(OR($AB56="",Tdatum&gt;=$AB56,AND(AB56&lt;&gt;"",ISNUMBER(FIND("j",LOWER(AD56))))),OR($AC56="",Tdatum&lt;=$AC56)),1,0)</f>
        <v>1</v>
      </c>
      <c r="F56" s="247">
        <f t="shared" ca="1" si="16"/>
        <v>1</v>
      </c>
      <c r="G56" s="147">
        <f ca="1">IF(SI=5,1,0)</f>
        <v>0</v>
      </c>
      <c r="H56" s="147"/>
      <c r="I56" s="148"/>
      <c r="J56" s="147"/>
      <c r="K56" s="148"/>
      <c r="L56" s="147">
        <f ca="1">IF(OR(FBRAND1="g",FBRAND1="l"),1,0)</f>
        <v>1</v>
      </c>
      <c r="M56" s="248">
        <f t="shared" ref="M56" ca="1" si="83">IF(AND(ParBAL1&lt;&gt;"",ParBAL1=P56),1,0)</f>
        <v>1</v>
      </c>
      <c r="N56" s="147">
        <f ca="1">IF(OR(FBRAND1="g",FBRAND1="l"),1,0)</f>
        <v>1</v>
      </c>
      <c r="O56" s="249">
        <f t="shared" ref="O56" ca="1" si="84">IF(AND(ParBAL2&lt;&gt;"",ParBAL2=P56),1,0)</f>
        <v>0</v>
      </c>
      <c r="P56" s="44" t="s">
        <v>106</v>
      </c>
      <c r="Q56" s="149" t="s">
        <v>221</v>
      </c>
      <c r="R56" s="149" t="s">
        <v>223</v>
      </c>
      <c r="S56" s="149">
        <v>5.0000999999999998</v>
      </c>
      <c r="T56" s="149"/>
      <c r="U56" s="150"/>
      <c r="V56" s="150"/>
      <c r="W56" s="150"/>
      <c r="X56" s="150"/>
      <c r="Y56" s="151"/>
      <c r="Z56" s="143"/>
      <c r="AA56" s="144">
        <v>43454</v>
      </c>
      <c r="AB56" s="143"/>
      <c r="AC56" s="145" t="str">
        <f ca="1">IF(MW&gt;20,DATEVALUE("1-1-2025"),"")</f>
        <v/>
      </c>
      <c r="AD56" s="146"/>
      <c r="AE56" s="276" t="s">
        <v>508</v>
      </c>
      <c r="AF56" s="152" t="s">
        <v>393</v>
      </c>
      <c r="AG56" s="147"/>
      <c r="AH56" s="636"/>
      <c r="AI56" s="645"/>
      <c r="AJ56" s="269"/>
      <c r="AK56" s="626"/>
      <c r="AL56" s="147"/>
      <c r="AM56" s="655"/>
      <c r="AN56" s="834"/>
      <c r="AO56" s="325" t="str">
        <f t="shared" ca="1" si="66"/>
        <v>Bij van toepassing worden van een emissie-eis wordt een periodieke meting uitgevoerd en vervolgens driejaarlijks (art. 4.1314). Tot 1-1-2025 hoeft geen periodieke meting te worden uitgevoerd (art. 4.1337).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25" t="str">
        <f t="shared" ref="AP56:AR56" ca="1" si="85">IF($AF56="","",AP$21)</f>
        <v>Een periodieke meting bestaat uit drie deelmetingen van 15-30 minuten. De metingen mogen worden uitgevoerd door een geaccrediteerd laboratorium volgens NEN-EN 13284-1(art. 4.1312).</v>
      </c>
      <c r="AQ56" s="325" t="str">
        <f t="shared" ca="1" si="85"/>
        <v>De aangetoonde meetonzekerheid mag niet groter zijn dan 30% van de emissie-eis (art. 4.1312 en art. 4.1319).</v>
      </c>
      <c r="AR56" s="349" t="str">
        <f t="shared" si="85"/>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149"/>
      <c r="AT56" s="149"/>
      <c r="AU56" s="150"/>
      <c r="AV56" s="150"/>
      <c r="AW56" s="150"/>
      <c r="AX56" s="151"/>
    </row>
    <row r="57" spans="1:50" x14ac:dyDescent="0.2">
      <c r="A57" s="584"/>
      <c r="B57" s="585"/>
      <c r="C57" s="586"/>
      <c r="D57" s="587"/>
      <c r="E57" s="588"/>
      <c r="F57" s="588"/>
      <c r="G57" s="589"/>
      <c r="H57" s="589"/>
      <c r="I57" s="590"/>
      <c r="J57" s="589"/>
      <c r="K57" s="590"/>
      <c r="L57" s="589"/>
      <c r="M57" s="591"/>
      <c r="N57" s="589"/>
      <c r="O57" s="592"/>
      <c r="P57" s="593"/>
      <c r="Q57" s="594"/>
      <c r="R57" s="595"/>
      <c r="S57" s="595"/>
      <c r="T57" s="595"/>
      <c r="U57" s="596"/>
      <c r="V57" s="596"/>
      <c r="W57" s="596"/>
      <c r="X57" s="596"/>
      <c r="Y57" s="597"/>
      <c r="Z57" s="598"/>
      <c r="AA57" s="599"/>
      <c r="AB57" s="598"/>
      <c r="AC57" s="600"/>
      <c r="AD57" s="601"/>
      <c r="AE57" s="602"/>
      <c r="AF57" s="603"/>
      <c r="AG57" s="589"/>
      <c r="AH57" s="638"/>
      <c r="AI57" s="647"/>
      <c r="AJ57" s="604"/>
      <c r="AK57" s="628"/>
      <c r="AL57" s="589"/>
      <c r="AM57" s="657"/>
      <c r="AN57" s="837"/>
      <c r="AO57" s="606"/>
      <c r="AP57" s="606"/>
      <c r="AQ57" s="606"/>
      <c r="AR57" s="606"/>
      <c r="AS57" s="595"/>
      <c r="AT57" s="606"/>
      <c r="AU57" s="607"/>
      <c r="AV57" s="607"/>
      <c r="AW57" s="607"/>
      <c r="AX57" s="597"/>
    </row>
    <row r="58" spans="1:50" x14ac:dyDescent="0.2">
      <c r="A58" s="393" t="s">
        <v>292</v>
      </c>
      <c r="B58" s="394"/>
      <c r="C58" s="395"/>
      <c r="D58" s="396"/>
      <c r="E58" s="397"/>
      <c r="F58" s="397"/>
      <c r="G58" s="398"/>
      <c r="H58" s="398"/>
      <c r="I58" s="399"/>
      <c r="J58" s="398"/>
      <c r="K58" s="399"/>
      <c r="L58" s="398"/>
      <c r="M58" s="400"/>
      <c r="N58" s="398"/>
      <c r="O58" s="401"/>
      <c r="P58" s="402"/>
      <c r="Q58" s="403"/>
      <c r="R58" s="404"/>
      <c r="S58" s="404"/>
      <c r="T58" s="404"/>
      <c r="U58" s="405"/>
      <c r="V58" s="405"/>
      <c r="W58" s="405"/>
      <c r="X58" s="405"/>
      <c r="Y58" s="406"/>
      <c r="Z58" s="407"/>
      <c r="AA58" s="408"/>
      <c r="AB58" s="407"/>
      <c r="AC58" s="409"/>
      <c r="AD58" s="410"/>
      <c r="AE58" s="411"/>
      <c r="AF58" s="412"/>
      <c r="AG58" s="398"/>
      <c r="AH58" s="639"/>
      <c r="AI58" s="648"/>
      <c r="AJ58" s="413"/>
      <c r="AK58" s="629"/>
      <c r="AL58" s="398"/>
      <c r="AM58" s="658"/>
      <c r="AN58" s="838"/>
      <c r="AO58" s="333"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58" s="333" t="s">
        <v>399</v>
      </c>
      <c r="AQ58" s="333" t="s">
        <v>400</v>
      </c>
      <c r="AR58" s="333" t="s">
        <v>264</v>
      </c>
      <c r="AS58" s="327"/>
      <c r="AT58" s="330"/>
      <c r="AU58" s="331"/>
      <c r="AV58" s="331"/>
      <c r="AW58" s="331"/>
      <c r="AX58" s="328"/>
    </row>
    <row r="59" spans="1:50" x14ac:dyDescent="0.2">
      <c r="A59" s="295"/>
      <c r="B59" s="339">
        <f t="shared" ref="B59:B70" ca="1" si="86">IF(AND(SUM(D59:K59,L59:M59)=COUNT(D59:K59,L59:M59),COUNT(D59:K59,L59:M59)&gt;0),ROW(B59),0)</f>
        <v>0</v>
      </c>
      <c r="C59" s="249">
        <f t="shared" ref="C59:C70" ca="1" si="87">IF(AND(SUM(D59:K59,N59:O59)=COUNT(D59:K59,N59:O59),COUNT(D59:K59,N59:O59)&gt;0),ROW(B59),0)</f>
        <v>0</v>
      </c>
      <c r="D59" s="246">
        <f t="shared" ref="D59:D70" ca="1" si="88">IF(AND(OR($Z59="",INGVAN="",$Z59&lt;=INGVAN),OR($Z59="",INGTOT="",$Z59&lt;=INGTOT),OR($AA59="",INGVAN="",$AA59&gt;=INGVAN),OR($AA59="",INGTOT="",$AA59&gt;=INGTOT)),1,0)</f>
        <v>1</v>
      </c>
      <c r="E59" s="247">
        <f t="shared" ca="1" si="33"/>
        <v>1</v>
      </c>
      <c r="F59" s="247">
        <f t="shared" ca="1" si="16"/>
        <v>1</v>
      </c>
      <c r="G59" s="147">
        <f ca="1">IF(SI=3,1,0)</f>
        <v>0</v>
      </c>
      <c r="H59" s="147"/>
      <c r="I59" s="148"/>
      <c r="J59" s="147"/>
      <c r="K59" s="148"/>
      <c r="L59" s="147">
        <f ca="1">IF(FBRAND1="l",1,0)</f>
        <v>0</v>
      </c>
      <c r="M59" s="248">
        <f t="shared" ref="M59:M70" ca="1" si="89">IF(AND(ParBAL1&lt;&gt;"",ParBAL1=P59),1,0)</f>
        <v>0</v>
      </c>
      <c r="N59" s="147">
        <f ca="1">IF(FBRAND2="l",1,0)</f>
        <v>0</v>
      </c>
      <c r="O59" s="249">
        <f t="shared" ref="O59:O70" ca="1" si="90">IF(AND(ParBAL2&lt;&gt;"",ParBAL2=P59),1,0)</f>
        <v>0</v>
      </c>
      <c r="P59" s="44" t="s">
        <v>105</v>
      </c>
      <c r="Q59" s="149" t="s">
        <v>270</v>
      </c>
      <c r="R59" s="149" t="s">
        <v>173</v>
      </c>
      <c r="S59" s="284">
        <v>1</v>
      </c>
      <c r="T59" s="149"/>
      <c r="U59" s="150"/>
      <c r="V59" s="150"/>
      <c r="W59" s="150"/>
      <c r="X59" s="150"/>
      <c r="Y59" s="151"/>
      <c r="Z59" s="143"/>
      <c r="AA59" s="144"/>
      <c r="AB59" s="143"/>
      <c r="AC59" s="145"/>
      <c r="AD59" s="146"/>
      <c r="AE59" s="277" t="s">
        <v>252</v>
      </c>
      <c r="AF59" s="152" t="s">
        <v>401</v>
      </c>
      <c r="AG59" s="147"/>
      <c r="AH59" s="636"/>
      <c r="AI59" s="645"/>
      <c r="AJ59" s="269"/>
      <c r="AK59" s="626"/>
      <c r="AL59" s="147"/>
      <c r="AM59" s="655"/>
      <c r="AN59" s="834"/>
      <c r="AO59" s="325" t="str">
        <f ca="1">IF($AF59="","",AO$58)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59" s="325" t="str">
        <f t="shared" ref="AP59:AR70" si="91">IF($AF59="","",AP$58)</f>
        <v xml:space="preserve">Een periodieke meting bestaat uit drie deelmetingen van 15-30 minuten. De metingen mogen worden uitgevoerd door een geaccrediteerde laboratorium volgens NEN-EN 13284-1 (art. 4.1354). </v>
      </c>
      <c r="AQ59" s="325" t="str">
        <f t="shared" si="91"/>
        <v>De aangetoonde meetonzekerheid mag niet groter zijn dan 30% van de emissie-eis (art. 4.1354 en art. 4.1361).</v>
      </c>
      <c r="AR59" s="325" t="str">
        <f t="shared" si="9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59" s="350"/>
      <c r="AT59" s="149"/>
      <c r="AU59" s="150"/>
      <c r="AV59" s="150"/>
      <c r="AW59" s="150"/>
      <c r="AX59" s="151"/>
    </row>
    <row r="60" spans="1:50" x14ac:dyDescent="0.2">
      <c r="A60" s="295"/>
      <c r="B60" s="339">
        <f t="shared" ca="1" si="86"/>
        <v>0</v>
      </c>
      <c r="C60" s="249">
        <f t="shared" ca="1" si="87"/>
        <v>0</v>
      </c>
      <c r="D60" s="246">
        <f t="shared" ca="1" si="88"/>
        <v>1</v>
      </c>
      <c r="E60" s="247">
        <f t="shared" ca="1" si="33"/>
        <v>1</v>
      </c>
      <c r="F60" s="247">
        <f t="shared" ca="1" si="16"/>
        <v>1</v>
      </c>
      <c r="G60" s="147">
        <f ca="1">IF(SI=3,1,0)</f>
        <v>0</v>
      </c>
      <c r="H60" s="147"/>
      <c r="I60" s="148"/>
      <c r="J60" s="147"/>
      <c r="K60" s="148"/>
      <c r="L60" s="147">
        <f ca="1">IF(FBRAND1="g",1,0)</f>
        <v>1</v>
      </c>
      <c r="M60" s="248">
        <f t="shared" ca="1" si="89"/>
        <v>0</v>
      </c>
      <c r="N60" s="147">
        <f ca="1">IF(FBRAND2="g",1,0)</f>
        <v>0</v>
      </c>
      <c r="O60" s="249">
        <f t="shared" ca="1" si="90"/>
        <v>0</v>
      </c>
      <c r="P60" s="44" t="s">
        <v>105</v>
      </c>
      <c r="Q60" s="149" t="s">
        <v>270</v>
      </c>
      <c r="R60" s="149" t="s">
        <v>178</v>
      </c>
      <c r="S60" s="284">
        <v>1</v>
      </c>
      <c r="T60" s="149"/>
      <c r="U60" s="150"/>
      <c r="V60" s="150"/>
      <c r="W60" s="150"/>
      <c r="X60" s="150"/>
      <c r="Y60" s="151"/>
      <c r="Z60" s="143"/>
      <c r="AA60" s="144"/>
      <c r="AB60" s="143"/>
      <c r="AC60" s="145"/>
      <c r="AD60" s="146"/>
      <c r="AE60" s="276" t="str">
        <f>AE59</f>
        <v>4.1346</v>
      </c>
      <c r="AF60" s="152" t="s">
        <v>401</v>
      </c>
      <c r="AG60" s="147"/>
      <c r="AH60" s="636"/>
      <c r="AI60" s="645"/>
      <c r="AJ60" s="269"/>
      <c r="AK60" s="626"/>
      <c r="AL60" s="147"/>
      <c r="AM60" s="655"/>
      <c r="AN60" s="834"/>
      <c r="AO60" s="325" t="str">
        <f t="shared" ref="AO60:AO70" ca="1" si="92">IF($AF60="","",AO$58)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0" s="325" t="str">
        <f t="shared" si="91"/>
        <v xml:space="preserve">Een periodieke meting bestaat uit drie deelmetingen van 15-30 minuten. De metingen mogen worden uitgevoerd door een geaccrediteerde laboratorium volgens NEN-EN 13284-1 (art. 4.1354). </v>
      </c>
      <c r="AQ60" s="325" t="str">
        <f t="shared" si="91"/>
        <v>De aangetoonde meetonzekerheid mag niet groter zijn dan 30% van de emissie-eis (art. 4.1354 en art. 4.1361).</v>
      </c>
      <c r="AR60" s="325" t="str">
        <f t="shared" si="9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0" s="156"/>
      <c r="AT60" s="149"/>
      <c r="AU60" s="150"/>
      <c r="AV60" s="150"/>
      <c r="AW60" s="150"/>
      <c r="AX60" s="151"/>
    </row>
    <row r="61" spans="1:50" x14ac:dyDescent="0.2">
      <c r="A61" s="295"/>
      <c r="B61" s="339">
        <f t="shared" ca="1" si="86"/>
        <v>0</v>
      </c>
      <c r="C61" s="249">
        <f t="shared" ca="1" si="87"/>
        <v>0</v>
      </c>
      <c r="D61" s="246">
        <f t="shared" ca="1" si="88"/>
        <v>1</v>
      </c>
      <c r="E61" s="247">
        <f t="shared" ca="1" si="33"/>
        <v>1</v>
      </c>
      <c r="F61" s="247">
        <f t="shared" ca="1" si="16"/>
        <v>0</v>
      </c>
      <c r="G61" s="147">
        <f ca="1">IF(SI=5,1,0)</f>
        <v>0</v>
      </c>
      <c r="H61" s="147"/>
      <c r="I61" s="148"/>
      <c r="J61" s="147"/>
      <c r="K61" s="148"/>
      <c r="L61" s="147">
        <f ca="1">IF(OR(FBRAND1="g",FBRAND1="l"),1,0)</f>
        <v>1</v>
      </c>
      <c r="M61" s="248">
        <f t="shared" ca="1" si="89"/>
        <v>0</v>
      </c>
      <c r="N61" s="147">
        <f ca="1">IF(OR(FBRAND1="g",FBRAND1="l"),1,0)</f>
        <v>1</v>
      </c>
      <c r="O61" s="249">
        <f t="shared" ca="1" si="90"/>
        <v>0</v>
      </c>
      <c r="P61" s="44" t="s">
        <v>105</v>
      </c>
      <c r="Q61" s="149" t="s">
        <v>221</v>
      </c>
      <c r="R61" s="149" t="s">
        <v>223</v>
      </c>
      <c r="S61" s="284">
        <v>1</v>
      </c>
      <c r="T61" s="149">
        <v>5</v>
      </c>
      <c r="U61" s="150"/>
      <c r="V61" s="150"/>
      <c r="W61" s="150"/>
      <c r="X61" s="150"/>
      <c r="Y61" s="151"/>
      <c r="Z61" s="143"/>
      <c r="AA61" s="144"/>
      <c r="AB61" s="143"/>
      <c r="AC61" s="145"/>
      <c r="AD61" s="146"/>
      <c r="AE61" s="276" t="s">
        <v>253</v>
      </c>
      <c r="AF61" s="152" t="s">
        <v>393</v>
      </c>
      <c r="AG61" s="147"/>
      <c r="AH61" s="636"/>
      <c r="AI61" s="645"/>
      <c r="AJ61" s="269"/>
      <c r="AK61" s="626"/>
      <c r="AL61" s="147"/>
      <c r="AM61" s="655"/>
      <c r="AN61" s="834"/>
      <c r="AO61" s="325" t="str">
        <f t="shared" ca="1" si="9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1" s="325" t="str">
        <f t="shared" si="91"/>
        <v xml:space="preserve">Een periodieke meting bestaat uit drie deelmetingen van 15-30 minuten. De metingen mogen worden uitgevoerd door een geaccrediteerde laboratorium volgens NEN-EN 13284-1 (art. 4.1354). </v>
      </c>
      <c r="AQ61" s="325" t="str">
        <f t="shared" si="91"/>
        <v>De aangetoonde meetonzekerheid mag niet groter zijn dan 30% van de emissie-eis (art. 4.1354 en art. 4.1361).</v>
      </c>
      <c r="AR61" s="325" t="str">
        <f t="shared" si="9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1" s="156"/>
      <c r="AT61" s="149"/>
      <c r="AU61" s="150"/>
      <c r="AV61" s="150"/>
      <c r="AW61" s="150"/>
      <c r="AX61" s="151"/>
    </row>
    <row r="62" spans="1:50" x14ac:dyDescent="0.2">
      <c r="A62" s="295"/>
      <c r="B62" s="339">
        <f t="shared" ca="1" si="86"/>
        <v>0</v>
      </c>
      <c r="C62" s="249">
        <f t="shared" ca="1" si="87"/>
        <v>0</v>
      </c>
      <c r="D62" s="246">
        <f t="shared" ca="1" si="88"/>
        <v>1</v>
      </c>
      <c r="E62" s="247">
        <f t="shared" ca="1" si="33"/>
        <v>1</v>
      </c>
      <c r="F62" s="247">
        <f t="shared" ca="1" si="16"/>
        <v>1</v>
      </c>
      <c r="G62" s="147">
        <f ca="1">IF(SI=5,1,0)</f>
        <v>0</v>
      </c>
      <c r="H62" s="147"/>
      <c r="I62" s="148"/>
      <c r="J62" s="147"/>
      <c r="K62" s="148"/>
      <c r="L62" s="147">
        <f ca="1">IF(OR(FBRAND1="g",FBRAND1="l"),1,0)</f>
        <v>1</v>
      </c>
      <c r="M62" s="248">
        <f t="shared" ca="1" si="89"/>
        <v>0</v>
      </c>
      <c r="N62" s="147">
        <f ca="1">IF(OR(FBRAND1="g",FBRAND1="l"),1,0)</f>
        <v>1</v>
      </c>
      <c r="O62" s="249">
        <f t="shared" ca="1" si="90"/>
        <v>0</v>
      </c>
      <c r="P62" s="44" t="s">
        <v>105</v>
      </c>
      <c r="Q62" s="149" t="s">
        <v>221</v>
      </c>
      <c r="R62" s="149" t="s">
        <v>223</v>
      </c>
      <c r="S62" s="149">
        <v>5</v>
      </c>
      <c r="T62" s="149"/>
      <c r="U62" s="150"/>
      <c r="V62" s="150"/>
      <c r="W62" s="150"/>
      <c r="X62" s="150"/>
      <c r="Y62" s="151"/>
      <c r="Z62" s="143"/>
      <c r="AA62" s="144"/>
      <c r="AB62" s="143"/>
      <c r="AC62" s="145"/>
      <c r="AD62" s="146"/>
      <c r="AE62" s="276" t="str">
        <f>AE61</f>
        <v>4.1347</v>
      </c>
      <c r="AF62" s="152" t="s">
        <v>401</v>
      </c>
      <c r="AG62" s="147"/>
      <c r="AH62" s="636"/>
      <c r="AI62" s="645"/>
      <c r="AJ62" s="269"/>
      <c r="AK62" s="626"/>
      <c r="AL62" s="147"/>
      <c r="AM62" s="655"/>
      <c r="AN62" s="834"/>
      <c r="AO62" s="325" t="str">
        <f t="shared" ca="1" si="9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2" s="325" t="str">
        <f t="shared" si="91"/>
        <v xml:space="preserve">Een periodieke meting bestaat uit drie deelmetingen van 15-30 minuten. De metingen mogen worden uitgevoerd door een geaccrediteerde laboratorium volgens NEN-EN 13284-1 (art. 4.1354). </v>
      </c>
      <c r="AQ62" s="325" t="str">
        <f t="shared" si="91"/>
        <v>De aangetoonde meetonzekerheid mag niet groter zijn dan 30% van de emissie-eis (art. 4.1354 en art. 4.1361).</v>
      </c>
      <c r="AR62" s="325" t="str">
        <f t="shared" si="9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2" s="156"/>
      <c r="AT62" s="149"/>
      <c r="AU62" s="150"/>
      <c r="AV62" s="150"/>
      <c r="AW62" s="150"/>
      <c r="AX62" s="151"/>
    </row>
    <row r="63" spans="1:50" x14ac:dyDescent="0.2">
      <c r="A63" s="295"/>
      <c r="B63" s="339">
        <f t="shared" ca="1" si="86"/>
        <v>0</v>
      </c>
      <c r="C63" s="249">
        <f t="shared" ca="1" si="87"/>
        <v>0</v>
      </c>
      <c r="D63" s="246">
        <f t="shared" ca="1" si="88"/>
        <v>1</v>
      </c>
      <c r="E63" s="247">
        <f t="shared" ca="1" si="33"/>
        <v>1</v>
      </c>
      <c r="F63" s="247">
        <f t="shared" ca="1" si="16"/>
        <v>0</v>
      </c>
      <c r="G63" s="147">
        <f ca="1">IF(SI=4,1,0)</f>
        <v>0</v>
      </c>
      <c r="H63" s="147"/>
      <c r="I63" s="148"/>
      <c r="J63" s="147"/>
      <c r="K63" s="148"/>
      <c r="L63" s="147">
        <f ca="1">IF(FBRAND1="g",1,0)</f>
        <v>1</v>
      </c>
      <c r="M63" s="248">
        <f t="shared" ca="1" si="89"/>
        <v>0</v>
      </c>
      <c r="N63" s="147">
        <f ca="1">IF(FBRAND2="g",1,0)</f>
        <v>0</v>
      </c>
      <c r="O63" s="249">
        <f t="shared" ca="1" si="90"/>
        <v>0</v>
      </c>
      <c r="P63" s="44" t="s">
        <v>105</v>
      </c>
      <c r="Q63" s="149" t="s">
        <v>188</v>
      </c>
      <c r="R63" s="149" t="s">
        <v>178</v>
      </c>
      <c r="S63" s="149">
        <v>1</v>
      </c>
      <c r="T63" s="149">
        <v>2.5</v>
      </c>
      <c r="U63" s="150"/>
      <c r="V63" s="150"/>
      <c r="W63" s="150"/>
      <c r="X63" s="150"/>
      <c r="Y63" s="151"/>
      <c r="Z63" s="143"/>
      <c r="AA63" s="144"/>
      <c r="AB63" s="143"/>
      <c r="AC63" s="145"/>
      <c r="AD63" s="146"/>
      <c r="AE63" s="276" t="s">
        <v>254</v>
      </c>
      <c r="AF63" s="152"/>
      <c r="AG63" s="147"/>
      <c r="AH63" s="636"/>
      <c r="AI63" s="645"/>
      <c r="AJ63" s="269"/>
      <c r="AK63" s="626"/>
      <c r="AL63" s="147"/>
      <c r="AM63" s="655"/>
      <c r="AN63" s="834"/>
      <c r="AO63" s="325" t="str">
        <f t="shared" si="92"/>
        <v/>
      </c>
      <c r="AP63" s="325" t="str">
        <f t="shared" si="91"/>
        <v/>
      </c>
      <c r="AQ63" s="325" t="str">
        <f t="shared" si="91"/>
        <v/>
      </c>
      <c r="AR63" s="325" t="str">
        <f t="shared" si="91"/>
        <v/>
      </c>
      <c r="AS63" s="156"/>
      <c r="AT63" s="149"/>
      <c r="AU63" s="150"/>
      <c r="AV63" s="150"/>
      <c r="AW63" s="150"/>
      <c r="AX63" s="151"/>
    </row>
    <row r="64" spans="1:50" x14ac:dyDescent="0.2">
      <c r="A64" s="295"/>
      <c r="B64" s="339">
        <f t="shared" ca="1" si="86"/>
        <v>0</v>
      </c>
      <c r="C64" s="249">
        <f t="shared" ca="1" si="87"/>
        <v>0</v>
      </c>
      <c r="D64" s="246">
        <f t="shared" ca="1" si="88"/>
        <v>1</v>
      </c>
      <c r="E64" s="247">
        <f t="shared" ca="1" si="33"/>
        <v>1</v>
      </c>
      <c r="F64" s="247">
        <f t="shared" ca="1" si="16"/>
        <v>1</v>
      </c>
      <c r="G64" s="147">
        <f ca="1">IF(SI=4,1,0)</f>
        <v>0</v>
      </c>
      <c r="H64" s="147"/>
      <c r="I64" s="148"/>
      <c r="J64" s="147"/>
      <c r="K64" s="148"/>
      <c r="L64" s="147">
        <f ca="1">IF(FBRAND1="g",1,0)</f>
        <v>1</v>
      </c>
      <c r="M64" s="248">
        <f t="shared" ca="1" si="89"/>
        <v>0</v>
      </c>
      <c r="N64" s="147">
        <f ca="1">IF(FBRAND2="g",1,0)</f>
        <v>0</v>
      </c>
      <c r="O64" s="249">
        <f t="shared" ca="1" si="90"/>
        <v>0</v>
      </c>
      <c r="P64" s="44" t="s">
        <v>105</v>
      </c>
      <c r="Q64" s="149" t="s">
        <v>188</v>
      </c>
      <c r="R64" s="149" t="s">
        <v>178</v>
      </c>
      <c r="S64" s="149">
        <v>2.5</v>
      </c>
      <c r="T64" s="149"/>
      <c r="U64" s="150"/>
      <c r="V64" s="150"/>
      <c r="W64" s="150"/>
      <c r="X64" s="150"/>
      <c r="Y64" s="151"/>
      <c r="Z64" s="143"/>
      <c r="AA64" s="144"/>
      <c r="AB64" s="143"/>
      <c r="AC64" s="145"/>
      <c r="AD64" s="146"/>
      <c r="AE64" s="276" t="s">
        <v>254</v>
      </c>
      <c r="AF64" s="152"/>
      <c r="AG64" s="147"/>
      <c r="AH64" s="636"/>
      <c r="AI64" s="645"/>
      <c r="AJ64" s="269"/>
      <c r="AK64" s="626"/>
      <c r="AL64" s="147"/>
      <c r="AM64" s="655"/>
      <c r="AN64" s="834"/>
      <c r="AO64" s="325" t="str">
        <f t="shared" si="92"/>
        <v/>
      </c>
      <c r="AP64" s="325" t="str">
        <f t="shared" si="91"/>
        <v/>
      </c>
      <c r="AQ64" s="325" t="str">
        <f t="shared" si="91"/>
        <v/>
      </c>
      <c r="AR64" s="325" t="str">
        <f t="shared" si="91"/>
        <v/>
      </c>
      <c r="AS64" s="156"/>
      <c r="AT64" s="149"/>
      <c r="AU64" s="150"/>
      <c r="AV64" s="150"/>
      <c r="AW64" s="150"/>
      <c r="AX64" s="151"/>
    </row>
    <row r="65" spans="1:50" x14ac:dyDescent="0.2">
      <c r="A65" s="295"/>
      <c r="B65" s="339">
        <f t="shared" ca="1" si="86"/>
        <v>0</v>
      </c>
      <c r="C65" s="249">
        <f t="shared" ca="1" si="87"/>
        <v>0</v>
      </c>
      <c r="D65" s="246">
        <f t="shared" ca="1" si="88"/>
        <v>1</v>
      </c>
      <c r="E65" s="247">
        <f t="shared" ca="1" si="33"/>
        <v>1</v>
      </c>
      <c r="F65" s="247">
        <f t="shared" ca="1" si="16"/>
        <v>1</v>
      </c>
      <c r="G65" s="147">
        <f t="shared" ref="G65:G70" ca="1" si="93">IF(AND(TSI&gt;0,TSI&lt;3),1,0)</f>
        <v>1</v>
      </c>
      <c r="H65" s="147"/>
      <c r="I65" s="148"/>
      <c r="J65" s="147"/>
      <c r="K65" s="148"/>
      <c r="L65" s="147">
        <f ca="1">IF(AND(FBRAND1="s",BRAND1&lt;&gt;9,BRAND1&lt;&gt;10),1,0)</f>
        <v>0</v>
      </c>
      <c r="M65" s="248">
        <f t="shared" ca="1" si="89"/>
        <v>0</v>
      </c>
      <c r="N65" s="147">
        <f ca="1">IF(AND(FBRAND2="s",BRAND2&lt;&gt;9,BRAND2&lt;&gt;10),1,0)</f>
        <v>0</v>
      </c>
      <c r="O65" s="249">
        <f t="shared" ca="1" si="90"/>
        <v>0</v>
      </c>
      <c r="P65" s="44" t="s">
        <v>105</v>
      </c>
      <c r="Q65" s="149" t="s">
        <v>255</v>
      </c>
      <c r="R65" s="149" t="s">
        <v>256</v>
      </c>
      <c r="S65" s="149">
        <v>1</v>
      </c>
      <c r="T65" s="149"/>
      <c r="U65" s="150"/>
      <c r="V65" s="150"/>
      <c r="W65" s="150"/>
      <c r="X65" s="150"/>
      <c r="Y65" s="151"/>
      <c r="Z65" s="143"/>
      <c r="AA65" s="144"/>
      <c r="AB65" s="143"/>
      <c r="AC65" s="145"/>
      <c r="AD65" s="146"/>
      <c r="AE65" s="276" t="s">
        <v>261</v>
      </c>
      <c r="AF65" s="152" t="s">
        <v>372</v>
      </c>
      <c r="AG65" s="147"/>
      <c r="AH65" s="636" t="str">
        <f ca="1">IF(INGTOT&lt;=IWTMCP,CONCATENATE(" geldt vanaf ",IWTMCPbesttxt," (art. 4.1369)"),"")</f>
        <v xml:space="preserve"> geldt vanaf 1-1-2025 (art. 4.1369)</v>
      </c>
      <c r="AI65" s="645"/>
      <c r="AJ65" s="269"/>
      <c r="AK65" s="626"/>
      <c r="AL65" s="147"/>
      <c r="AM65" s="655"/>
      <c r="AN65" s="834"/>
      <c r="AO65" s="325" t="str">
        <f t="shared" ca="1" si="9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5" s="325" t="str">
        <f t="shared" si="91"/>
        <v xml:space="preserve">Een periodieke meting bestaat uit drie deelmetingen van 15-30 minuten. De metingen mogen worden uitgevoerd door een geaccrediteerde laboratorium volgens NEN-EN 13284-1 (art. 4.1354). </v>
      </c>
      <c r="AQ65" s="325" t="str">
        <f t="shared" si="91"/>
        <v>De aangetoonde meetonzekerheid mag niet groter zijn dan 30% van de emissie-eis (art. 4.1354 en art. 4.1361).</v>
      </c>
      <c r="AR65" s="325" t="str">
        <f t="shared" si="9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5" s="156"/>
      <c r="AT65" s="149"/>
      <c r="AU65" s="150"/>
      <c r="AV65" s="150"/>
      <c r="AW65" s="150"/>
      <c r="AX65" s="151"/>
    </row>
    <row r="66" spans="1:50" x14ac:dyDescent="0.2">
      <c r="A66" s="295"/>
      <c r="B66" s="339">
        <f t="shared" ca="1" si="86"/>
        <v>0</v>
      </c>
      <c r="C66" s="249">
        <f t="shared" ca="1" si="87"/>
        <v>0</v>
      </c>
      <c r="D66" s="246">
        <f t="shared" ca="1" si="88"/>
        <v>1</v>
      </c>
      <c r="E66" s="247">
        <f t="shared" ca="1" si="33"/>
        <v>1</v>
      </c>
      <c r="F66" s="247">
        <f t="shared" ca="1" si="16"/>
        <v>1</v>
      </c>
      <c r="G66" s="147">
        <f t="shared" ca="1" si="93"/>
        <v>1</v>
      </c>
      <c r="H66" s="147"/>
      <c r="I66" s="148"/>
      <c r="J66" s="147"/>
      <c r="K66" s="148"/>
      <c r="L66" s="147">
        <f ca="1">IF(AND(FBRAND1="l",BRAND1&lt;&gt;8),1,0)</f>
        <v>0</v>
      </c>
      <c r="M66" s="248">
        <f t="shared" ca="1" si="89"/>
        <v>0</v>
      </c>
      <c r="N66" s="147">
        <f ca="1">IF(AND(FBRAND2="l",BRAND2&lt;&gt;8),1,0)</f>
        <v>0</v>
      </c>
      <c r="O66" s="249">
        <f t="shared" ca="1" si="90"/>
        <v>0</v>
      </c>
      <c r="P66" s="44" t="s">
        <v>105</v>
      </c>
      <c r="Q66" s="149" t="s">
        <v>255</v>
      </c>
      <c r="R66" s="149" t="s">
        <v>257</v>
      </c>
      <c r="S66" s="149">
        <v>1</v>
      </c>
      <c r="T66" s="149"/>
      <c r="U66" s="150"/>
      <c r="V66" s="150"/>
      <c r="W66" s="150"/>
      <c r="X66" s="150"/>
      <c r="Y66" s="151"/>
      <c r="Z66" s="143"/>
      <c r="AA66" s="144"/>
      <c r="AB66" s="143"/>
      <c r="AC66" s="145"/>
      <c r="AD66" s="146"/>
      <c r="AE66" s="276" t="s">
        <v>261</v>
      </c>
      <c r="AF66" s="152" t="s">
        <v>372</v>
      </c>
      <c r="AG66" s="147"/>
      <c r="AH66" s="636" t="str">
        <f ca="1">IF(INGTOT&lt;=IWTMCP,CONCATENATE(" geldt vanaf ",IWTMCPbesttxt," (art. 4.1369)"),"")</f>
        <v xml:space="preserve"> geldt vanaf 1-1-2025 (art. 4.1369)</v>
      </c>
      <c r="AI66" s="645"/>
      <c r="AJ66" s="269"/>
      <c r="AK66" s="626"/>
      <c r="AL66" s="147"/>
      <c r="AM66" s="655"/>
      <c r="AN66" s="834"/>
      <c r="AO66" s="325" t="str">
        <f t="shared" ca="1" si="9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6" s="325" t="str">
        <f t="shared" si="91"/>
        <v xml:space="preserve">Een periodieke meting bestaat uit drie deelmetingen van 15-30 minuten. De metingen mogen worden uitgevoerd door een geaccrediteerde laboratorium volgens NEN-EN 13284-1 (art. 4.1354). </v>
      </c>
      <c r="AQ66" s="325" t="str">
        <f t="shared" si="91"/>
        <v>De aangetoonde meetonzekerheid mag niet groter zijn dan 30% van de emissie-eis (art. 4.1354 en art. 4.1361).</v>
      </c>
      <c r="AR66" s="325" t="str">
        <f t="shared" si="9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6" s="156"/>
      <c r="AT66" s="149"/>
      <c r="AU66" s="150"/>
      <c r="AV66" s="150"/>
      <c r="AW66" s="150"/>
      <c r="AX66" s="151"/>
    </row>
    <row r="67" spans="1:50" x14ac:dyDescent="0.2">
      <c r="A67" s="295"/>
      <c r="B67" s="339">
        <f t="shared" ca="1" si="86"/>
        <v>0</v>
      </c>
      <c r="C67" s="249">
        <f t="shared" ca="1" si="87"/>
        <v>0</v>
      </c>
      <c r="D67" s="246">
        <f t="shared" ca="1" si="88"/>
        <v>1</v>
      </c>
      <c r="E67" s="247">
        <f t="shared" ca="1" si="33"/>
        <v>1</v>
      </c>
      <c r="F67" s="247">
        <f t="shared" ca="1" si="16"/>
        <v>1</v>
      </c>
      <c r="G67" s="147">
        <f t="shared" ca="1" si="93"/>
        <v>1</v>
      </c>
      <c r="H67" s="147"/>
      <c r="I67" s="148"/>
      <c r="J67" s="147"/>
      <c r="K67" s="148"/>
      <c r="L67" s="147">
        <f ca="1">IF(AND(BRAND1&gt;=8,BRAND1&lt;=10),1,0)</f>
        <v>0</v>
      </c>
      <c r="M67" s="248">
        <f t="shared" ca="1" si="89"/>
        <v>0</v>
      </c>
      <c r="N67" s="147">
        <f ca="1">IF(AND(BRAND2&gt;=8,BRAND2&lt;=10),1,0)</f>
        <v>0</v>
      </c>
      <c r="O67" s="249">
        <f t="shared" ca="1" si="90"/>
        <v>0</v>
      </c>
      <c r="P67" s="44" t="s">
        <v>105</v>
      </c>
      <c r="Q67" s="149" t="s">
        <v>255</v>
      </c>
      <c r="R67" s="149" t="s">
        <v>206</v>
      </c>
      <c r="S67" s="149">
        <v>1</v>
      </c>
      <c r="T67" s="149"/>
      <c r="U67" s="150"/>
      <c r="V67" s="150"/>
      <c r="W67" s="150"/>
      <c r="X67" s="150"/>
      <c r="Y67" s="151"/>
      <c r="Z67" s="143"/>
      <c r="AA67" s="144"/>
      <c r="AB67" s="143"/>
      <c r="AC67" s="145"/>
      <c r="AD67" s="146"/>
      <c r="AE67" s="276" t="s">
        <v>261</v>
      </c>
      <c r="AF67" s="152" t="s">
        <v>372</v>
      </c>
      <c r="AG67" s="147"/>
      <c r="AH67" s="636" t="str">
        <f ca="1">IF(INGTOT&lt;=IWTMCP,CONCATENATE(" geldt vanaf ",IWTMCPbesttxt," (art. 4.1369)"),"")</f>
        <v xml:space="preserve"> geldt vanaf 1-1-2025 (art. 4.1369)</v>
      </c>
      <c r="AI67" s="645"/>
      <c r="AJ67" s="269"/>
      <c r="AK67" s="626"/>
      <c r="AL67" s="147"/>
      <c r="AM67" s="655"/>
      <c r="AN67" s="834"/>
      <c r="AO67" s="325" t="str">
        <f t="shared" ca="1" si="9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67" s="325" t="str">
        <f t="shared" si="91"/>
        <v xml:space="preserve">Een periodieke meting bestaat uit drie deelmetingen van 15-30 minuten. De metingen mogen worden uitgevoerd door een geaccrediteerde laboratorium volgens NEN-EN 13284-1 (art. 4.1354). </v>
      </c>
      <c r="AQ67" s="325" t="str">
        <f t="shared" si="91"/>
        <v>De aangetoonde meetonzekerheid mag niet groter zijn dan 30% van de emissie-eis (art. 4.1354 en art. 4.1361).</v>
      </c>
      <c r="AR67" s="325" t="str">
        <f t="shared" si="9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7" s="156"/>
      <c r="AT67" s="149"/>
      <c r="AU67" s="150"/>
      <c r="AV67" s="150"/>
      <c r="AW67" s="150"/>
      <c r="AX67" s="151"/>
    </row>
    <row r="68" spans="1:50" x14ac:dyDescent="0.2">
      <c r="A68" s="295"/>
      <c r="B68" s="339">
        <f t="shared" ca="1" si="86"/>
        <v>0</v>
      </c>
      <c r="C68" s="249">
        <f t="shared" ca="1" si="87"/>
        <v>0</v>
      </c>
      <c r="D68" s="246">
        <f t="shared" ca="1" si="88"/>
        <v>1</v>
      </c>
      <c r="E68" s="247">
        <f t="shared" ca="1" si="33"/>
        <v>1</v>
      </c>
      <c r="F68" s="247">
        <f t="shared" ca="1" si="16"/>
        <v>1</v>
      </c>
      <c r="G68" s="147">
        <f t="shared" ca="1" si="93"/>
        <v>1</v>
      </c>
      <c r="H68" s="147"/>
      <c r="I68" s="148"/>
      <c r="J68" s="147"/>
      <c r="K68" s="148"/>
      <c r="L68" s="147">
        <f ca="1">IF(AND(FBRAND1="g",BRAND1&lt;&gt;12,BRAND1&lt;&gt;13),1,0)</f>
        <v>1</v>
      </c>
      <c r="M68" s="248">
        <f t="shared" ca="1" si="89"/>
        <v>0</v>
      </c>
      <c r="N68" s="147">
        <f ca="1">IF(AND(FBRAND2="g",BRAND2&lt;&gt;12,BRAND2&lt;&gt;13),1,0)</f>
        <v>0</v>
      </c>
      <c r="O68" s="249">
        <f t="shared" ca="1" si="90"/>
        <v>0</v>
      </c>
      <c r="P68" s="44" t="s">
        <v>105</v>
      </c>
      <c r="Q68" s="149" t="s">
        <v>255</v>
      </c>
      <c r="R68" s="149" t="s">
        <v>258</v>
      </c>
      <c r="S68" s="149">
        <v>1</v>
      </c>
      <c r="T68" s="149"/>
      <c r="U68" s="150"/>
      <c r="V68" s="150"/>
      <c r="W68" s="150"/>
      <c r="X68" s="150"/>
      <c r="Y68" s="151"/>
      <c r="Z68" s="143"/>
      <c r="AA68" s="144"/>
      <c r="AB68" s="143"/>
      <c r="AC68" s="145"/>
      <c r="AD68" s="146"/>
      <c r="AE68" s="276" t="s">
        <v>261</v>
      </c>
      <c r="AF68" s="152"/>
      <c r="AG68" s="147"/>
      <c r="AH68" s="636"/>
      <c r="AI68" s="645"/>
      <c r="AJ68" s="269"/>
      <c r="AK68" s="626"/>
      <c r="AL68" s="147"/>
      <c r="AM68" s="655"/>
      <c r="AN68" s="834"/>
      <c r="AO68" s="325" t="str">
        <f t="shared" si="92"/>
        <v/>
      </c>
      <c r="AP68" s="325" t="str">
        <f t="shared" si="91"/>
        <v/>
      </c>
      <c r="AQ68" s="325" t="str">
        <f t="shared" si="91"/>
        <v/>
      </c>
      <c r="AR68" s="325" t="str">
        <f t="shared" si="91"/>
        <v/>
      </c>
      <c r="AS68" s="156"/>
      <c r="AT68" s="149"/>
      <c r="AU68" s="150"/>
      <c r="AV68" s="150"/>
      <c r="AW68" s="150"/>
      <c r="AX68" s="151"/>
    </row>
    <row r="69" spans="1:50" x14ac:dyDescent="0.2">
      <c r="A69" s="295"/>
      <c r="B69" s="339">
        <f t="shared" ca="1" si="86"/>
        <v>0</v>
      </c>
      <c r="C69" s="249">
        <f t="shared" ca="1" si="87"/>
        <v>0</v>
      </c>
      <c r="D69" s="246">
        <f t="shared" ca="1" si="88"/>
        <v>1</v>
      </c>
      <c r="E69" s="247">
        <f t="shared" ca="1" si="33"/>
        <v>1</v>
      </c>
      <c r="F69" s="247">
        <f t="shared" ca="1" si="16"/>
        <v>1</v>
      </c>
      <c r="G69" s="147">
        <f t="shared" ca="1" si="93"/>
        <v>1</v>
      </c>
      <c r="H69" s="147"/>
      <c r="I69" s="148"/>
      <c r="J69" s="147"/>
      <c r="K69" s="148"/>
      <c r="L69" s="147">
        <f ca="1">IF(BRAND1=12,1,0)</f>
        <v>0</v>
      </c>
      <c r="M69" s="248">
        <f t="shared" ca="1" si="89"/>
        <v>0</v>
      </c>
      <c r="N69" s="147">
        <f ca="1">IF(BRAND2=12,1,0)</f>
        <v>0</v>
      </c>
      <c r="O69" s="249">
        <f t="shared" ca="1" si="90"/>
        <v>0</v>
      </c>
      <c r="P69" s="44" t="s">
        <v>105</v>
      </c>
      <c r="Q69" s="149" t="s">
        <v>255</v>
      </c>
      <c r="R69" s="149" t="s">
        <v>259</v>
      </c>
      <c r="S69" s="149">
        <v>1</v>
      </c>
      <c r="T69" s="149"/>
      <c r="U69" s="150"/>
      <c r="V69" s="150"/>
      <c r="W69" s="150"/>
      <c r="X69" s="150"/>
      <c r="Y69" s="151"/>
      <c r="Z69" s="143"/>
      <c r="AA69" s="144"/>
      <c r="AB69" s="143"/>
      <c r="AC69" s="145"/>
      <c r="AD69" s="146"/>
      <c r="AE69" s="276" t="s">
        <v>261</v>
      </c>
      <c r="AF69" s="152"/>
      <c r="AG69" s="147"/>
      <c r="AH69" s="636"/>
      <c r="AI69" s="645"/>
      <c r="AJ69" s="269"/>
      <c r="AK69" s="626"/>
      <c r="AL69" s="147"/>
      <c r="AM69" s="655"/>
      <c r="AN69" s="834"/>
      <c r="AO69" s="325" t="str">
        <f t="shared" si="92"/>
        <v/>
      </c>
      <c r="AP69" s="325" t="str">
        <f t="shared" si="91"/>
        <v/>
      </c>
      <c r="AQ69" s="325" t="str">
        <f t="shared" si="91"/>
        <v/>
      </c>
      <c r="AR69" s="325" t="str">
        <f t="shared" si="91"/>
        <v/>
      </c>
      <c r="AS69" s="156"/>
      <c r="AT69" s="149"/>
      <c r="AU69" s="150"/>
      <c r="AV69" s="150"/>
      <c r="AW69" s="150"/>
      <c r="AX69" s="151"/>
    </row>
    <row r="70" spans="1:50" x14ac:dyDescent="0.2">
      <c r="A70" s="295"/>
      <c r="B70" s="339">
        <f t="shared" ca="1" si="86"/>
        <v>0</v>
      </c>
      <c r="C70" s="249">
        <f t="shared" ca="1" si="87"/>
        <v>0</v>
      </c>
      <c r="D70" s="246">
        <f t="shared" ca="1" si="88"/>
        <v>1</v>
      </c>
      <c r="E70" s="247">
        <f t="shared" ca="1" si="33"/>
        <v>1</v>
      </c>
      <c r="F70" s="247">
        <f t="shared" ca="1" si="16"/>
        <v>1</v>
      </c>
      <c r="G70" s="147">
        <f t="shared" ca="1" si="93"/>
        <v>1</v>
      </c>
      <c r="H70" s="147"/>
      <c r="I70" s="148"/>
      <c r="J70" s="147"/>
      <c r="K70" s="148"/>
      <c r="L70" s="147">
        <f ca="1">IF(BRAND1=13,1,0)</f>
        <v>0</v>
      </c>
      <c r="M70" s="248">
        <f t="shared" ca="1" si="89"/>
        <v>0</v>
      </c>
      <c r="N70" s="147">
        <f ca="1">IF(BRAND2=13,1,0)</f>
        <v>0</v>
      </c>
      <c r="O70" s="249">
        <f t="shared" ca="1" si="90"/>
        <v>0</v>
      </c>
      <c r="P70" s="44" t="s">
        <v>105</v>
      </c>
      <c r="Q70" s="149" t="s">
        <v>255</v>
      </c>
      <c r="R70" s="149" t="s">
        <v>260</v>
      </c>
      <c r="S70" s="149">
        <v>1</v>
      </c>
      <c r="T70" s="149"/>
      <c r="U70" s="150"/>
      <c r="V70" s="150"/>
      <c r="W70" s="150"/>
      <c r="X70" s="150"/>
      <c r="Y70" s="151"/>
      <c r="Z70" s="143"/>
      <c r="AA70" s="144"/>
      <c r="AB70" s="143"/>
      <c r="AC70" s="145"/>
      <c r="AD70" s="146"/>
      <c r="AE70" s="276" t="s">
        <v>261</v>
      </c>
      <c r="AF70" s="152"/>
      <c r="AG70" s="147"/>
      <c r="AH70" s="636"/>
      <c r="AI70" s="645"/>
      <c r="AJ70" s="269"/>
      <c r="AK70" s="626"/>
      <c r="AL70" s="147"/>
      <c r="AM70" s="655"/>
      <c r="AN70" s="834"/>
      <c r="AO70" s="325" t="str">
        <f t="shared" si="92"/>
        <v/>
      </c>
      <c r="AP70" s="325" t="str">
        <f t="shared" si="91"/>
        <v/>
      </c>
      <c r="AQ70" s="325" t="str">
        <f t="shared" si="91"/>
        <v/>
      </c>
      <c r="AR70" s="325" t="str">
        <f t="shared" si="91"/>
        <v/>
      </c>
      <c r="AS70" s="156"/>
      <c r="AT70" s="149"/>
      <c r="AU70" s="150"/>
      <c r="AV70" s="150"/>
      <c r="AW70" s="150"/>
      <c r="AX70" s="151"/>
    </row>
    <row r="71" spans="1:50" x14ac:dyDescent="0.2">
      <c r="A71" s="295"/>
      <c r="B71" s="340"/>
      <c r="C71" s="341"/>
      <c r="D71" s="326"/>
      <c r="E71" s="46"/>
      <c r="F71" s="46"/>
      <c r="G71" s="147"/>
      <c r="H71" s="147"/>
      <c r="I71" s="148"/>
      <c r="J71" s="147"/>
      <c r="K71" s="148"/>
      <c r="L71" s="147"/>
      <c r="M71" s="56"/>
      <c r="N71" s="147"/>
      <c r="O71" s="59"/>
      <c r="P71" s="279"/>
      <c r="Q71" s="160"/>
      <c r="R71" s="149"/>
      <c r="S71" s="149"/>
      <c r="T71" s="149"/>
      <c r="U71" s="150"/>
      <c r="V71" s="150"/>
      <c r="W71" s="150"/>
      <c r="X71" s="150"/>
      <c r="Y71" s="151"/>
      <c r="Z71" s="143"/>
      <c r="AA71" s="144"/>
      <c r="AB71" s="143"/>
      <c r="AC71" s="145"/>
      <c r="AD71" s="146"/>
      <c r="AE71" s="276"/>
      <c r="AF71" s="152"/>
      <c r="AG71" s="147"/>
      <c r="AH71" s="636"/>
      <c r="AI71" s="645"/>
      <c r="AJ71" s="269"/>
      <c r="AK71" s="626"/>
      <c r="AL71" s="147"/>
      <c r="AM71" s="655"/>
      <c r="AN71" s="835"/>
      <c r="AO71" s="155"/>
      <c r="AP71" s="155"/>
      <c r="AQ71" s="155"/>
      <c r="AR71" s="155"/>
      <c r="AS71" s="149"/>
      <c r="AT71" s="155"/>
      <c r="AU71" s="157"/>
      <c r="AV71" s="157"/>
      <c r="AW71" s="157"/>
      <c r="AX71" s="151"/>
    </row>
    <row r="72" spans="1:50" x14ac:dyDescent="0.2">
      <c r="A72" s="363" t="s">
        <v>340</v>
      </c>
      <c r="B72" s="364"/>
      <c r="C72" s="365"/>
      <c r="D72" s="366"/>
      <c r="E72" s="367"/>
      <c r="F72" s="367"/>
      <c r="G72" s="368"/>
      <c r="H72" s="368"/>
      <c r="I72" s="369"/>
      <c r="J72" s="368"/>
      <c r="K72" s="369"/>
      <c r="L72" s="368"/>
      <c r="M72" s="370"/>
      <c r="N72" s="368"/>
      <c r="O72" s="371"/>
      <c r="P72" s="372"/>
      <c r="Q72" s="373"/>
      <c r="R72" s="374"/>
      <c r="S72" s="374"/>
      <c r="T72" s="374"/>
      <c r="U72" s="375"/>
      <c r="V72" s="375"/>
      <c r="W72" s="375"/>
      <c r="X72" s="375"/>
      <c r="Y72" s="376"/>
      <c r="Z72" s="377"/>
      <c r="AA72" s="378"/>
      <c r="AB72" s="377"/>
      <c r="AC72" s="379"/>
      <c r="AD72" s="380"/>
      <c r="AE72" s="381"/>
      <c r="AF72" s="382"/>
      <c r="AG72" s="368"/>
      <c r="AH72" s="637"/>
      <c r="AI72" s="646"/>
      <c r="AJ72" s="383"/>
      <c r="AK72" s="627"/>
      <c r="AL72" s="368"/>
      <c r="AM72" s="656"/>
      <c r="AN72" s="836"/>
      <c r="AO72" s="346" t="str">
        <f ca="1">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2" s="346" t="str">
        <f t="shared" ref="AP72:AR72" si="94">AP58</f>
        <v xml:space="preserve">Een periodieke meting bestaat uit drie deelmetingen van 15-30 minuten. De metingen mogen worden uitgevoerd door een geaccrediteerde laboratorium volgens NEN-EN 13284-1 (art. 4.1354). </v>
      </c>
      <c r="AQ72" s="346" t="str">
        <f t="shared" si="94"/>
        <v>De aangetoonde meetonzekerheid mag niet groter zijn dan 30% van de emissie-eis (art. 4.1354 en art. 4.1361).</v>
      </c>
      <c r="AR72" s="346" t="str">
        <f t="shared" si="9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346"/>
      <c r="AT72" s="336"/>
      <c r="AU72" s="337"/>
      <c r="AV72" s="337"/>
      <c r="AW72" s="337"/>
      <c r="AX72" s="335"/>
    </row>
    <row r="73" spans="1:50" x14ac:dyDescent="0.2">
      <c r="A73" s="295"/>
      <c r="B73" s="339">
        <f t="shared" ref="B73:B74" ca="1" si="95">IF(AND(SUM(D73:K73,L73:M73)=COUNT(D73:K73,L73:M73),COUNT(D73:K73,L73:M73)&gt;0),ROW(B73),0)</f>
        <v>0</v>
      </c>
      <c r="C73" s="249">
        <f t="shared" ref="C73:C74" ca="1" si="96">IF(AND(SUM(D73:K73,N73:O73)=COUNT(D73:K73,N73:O73),COUNT(D73:K73,N73:O73)&gt;0),ROW(B73),0)</f>
        <v>0</v>
      </c>
      <c r="D73" s="246">
        <f t="shared" ref="D73:D74" ca="1" si="97">IF(AND(OR($Z73="",INGVAN="",$Z73&lt;=INGVAN),OR($Z73="",INGTOT="",$Z73&lt;=INGTOT),OR($AA73="",INGVAN="",$AA73&gt;=INGVAN),OR($AA73="",INGTOT="",$AA73&gt;=INGTOT)),1,0)</f>
        <v>1</v>
      </c>
      <c r="E73" s="247">
        <f t="shared" ref="E73:E74" ca="1" si="98">IF(AND(OR($AB73="",Tdatum&gt;=$AB73,AND(AB73&lt;&gt;"",ISNUMBER(FIND("j",LOWER(AD73))))),OR($AC73="",Tdatum&lt;=$AC73)),1,0)</f>
        <v>1</v>
      </c>
      <c r="F73" s="247">
        <f t="shared" ca="1" si="16"/>
        <v>1</v>
      </c>
      <c r="G73" s="147">
        <f ca="1">IF(SI=3,1,0)</f>
        <v>0</v>
      </c>
      <c r="H73" s="147"/>
      <c r="I73" s="148"/>
      <c r="J73" s="147"/>
      <c r="K73" s="148"/>
      <c r="L73" s="147">
        <f ca="1">IF(FBRAND1="l",1,0)</f>
        <v>0</v>
      </c>
      <c r="M73" s="248">
        <f t="shared" ref="M73:M74" ca="1" si="99">IF(AND(ParBAL1&lt;&gt;"",ParBAL1=P73),1,0)</f>
        <v>0</v>
      </c>
      <c r="N73" s="147">
        <f ca="1">IF(FBRAND2="l",1,0)</f>
        <v>0</v>
      </c>
      <c r="O73" s="249">
        <f t="shared" ref="O73:O74" ca="1" si="100">IF(AND(ParBAL2&lt;&gt;"",ParBAL2=P73),1,0)</f>
        <v>0</v>
      </c>
      <c r="P73" s="44" t="s">
        <v>105</v>
      </c>
      <c r="Q73" s="149" t="s">
        <v>270</v>
      </c>
      <c r="R73" s="149" t="s">
        <v>173</v>
      </c>
      <c r="S73" s="284">
        <v>1</v>
      </c>
      <c r="T73" s="149"/>
      <c r="U73" s="150"/>
      <c r="V73" s="150"/>
      <c r="W73" s="150"/>
      <c r="X73" s="150"/>
      <c r="Y73" s="151"/>
      <c r="Z73" s="143"/>
      <c r="AA73" s="144">
        <f>IWTMCP</f>
        <v>43454</v>
      </c>
      <c r="AB73" s="143"/>
      <c r="AC73" s="145"/>
      <c r="AD73" s="146"/>
      <c r="AE73" s="277" t="s">
        <v>402</v>
      </c>
      <c r="AF73" s="152" t="s">
        <v>393</v>
      </c>
      <c r="AG73" s="147"/>
      <c r="AH73" s="636"/>
      <c r="AI73" s="645"/>
      <c r="AJ73" s="269"/>
      <c r="AK73" s="626"/>
      <c r="AL73" s="147"/>
      <c r="AM73" s="655"/>
      <c r="AN73" s="834"/>
      <c r="AO73" s="325" t="str">
        <f ca="1">IF($AF73="","",AO$58)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3" s="325" t="str">
        <f t="shared" ref="AP73:AR74" si="101">IF($AF73="","",AP$58)</f>
        <v xml:space="preserve">Een periodieke meting bestaat uit drie deelmetingen van 15-30 minuten. De metingen mogen worden uitgevoerd door een geaccrediteerde laboratorium volgens NEN-EN 13284-1 (art. 4.1354). </v>
      </c>
      <c r="AQ73" s="325" t="str">
        <f t="shared" si="101"/>
        <v>De aangetoonde meetonzekerheid mag niet groter zijn dan 30% van de emissie-eis (art. 4.1354 en art. 4.1361).</v>
      </c>
      <c r="AR73"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350"/>
      <c r="AT73" s="149"/>
      <c r="AU73" s="150"/>
      <c r="AV73" s="150"/>
      <c r="AW73" s="150"/>
      <c r="AX73" s="151"/>
    </row>
    <row r="74" spans="1:50" x14ac:dyDescent="0.2">
      <c r="A74" s="295"/>
      <c r="B74" s="339">
        <f t="shared" ca="1" si="95"/>
        <v>0</v>
      </c>
      <c r="C74" s="249">
        <f t="shared" ca="1" si="96"/>
        <v>0</v>
      </c>
      <c r="D74" s="246">
        <f t="shared" ca="1" si="97"/>
        <v>1</v>
      </c>
      <c r="E74" s="247">
        <f t="shared" ca="1" si="98"/>
        <v>1</v>
      </c>
      <c r="F74" s="247">
        <f t="shared" ca="1" si="16"/>
        <v>1</v>
      </c>
      <c r="G74" s="147">
        <f ca="1">IF(SI=5,1,0)</f>
        <v>0</v>
      </c>
      <c r="H74" s="147"/>
      <c r="I74" s="148"/>
      <c r="J74" s="147"/>
      <c r="K74" s="148"/>
      <c r="L74" s="147">
        <f ca="1">IF(OR(FBRAND1="g",FBRAND1="l"),1,0)</f>
        <v>1</v>
      </c>
      <c r="M74" s="248">
        <f t="shared" ca="1" si="99"/>
        <v>0</v>
      </c>
      <c r="N74" s="147">
        <f ca="1">IF(OR(FBRAND1="g",FBRAND1="l"),1,0)</f>
        <v>1</v>
      </c>
      <c r="O74" s="249">
        <f t="shared" ca="1" si="100"/>
        <v>0</v>
      </c>
      <c r="P74" s="44" t="s">
        <v>105</v>
      </c>
      <c r="Q74" s="149" t="s">
        <v>221</v>
      </c>
      <c r="R74" s="149" t="s">
        <v>223</v>
      </c>
      <c r="S74" s="284">
        <v>1</v>
      </c>
      <c r="T74" s="149">
        <v>20</v>
      </c>
      <c r="U74" s="150"/>
      <c r="V74" s="150"/>
      <c r="W74" s="150"/>
      <c r="X74" s="150"/>
      <c r="Y74" s="151"/>
      <c r="Z74" s="143"/>
      <c r="AA74" s="144">
        <f>IWTMCP</f>
        <v>43454</v>
      </c>
      <c r="AB74" s="143"/>
      <c r="AC74" s="145"/>
      <c r="AD74" s="146"/>
      <c r="AE74" s="276" t="s">
        <v>253</v>
      </c>
      <c r="AF74" s="152" t="s">
        <v>393</v>
      </c>
      <c r="AG74" s="147"/>
      <c r="AH74" s="636"/>
      <c r="AI74" s="645"/>
      <c r="AJ74" s="269"/>
      <c r="AK74" s="626"/>
      <c r="AL74" s="147"/>
      <c r="AM74" s="655"/>
      <c r="AN74" s="834"/>
      <c r="AO74" s="325" t="str">
        <f t="shared" ref="AO74" ca="1" si="102">IF($AF74="","",AO$58)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4.1353).Tot 1-1-2025 hoeft geen meting te worden uitgevoerd (art. 4.1375), tenzij er via de vergunning of maatwerk eisen zijn gesteld.</v>
      </c>
      <c r="AP74" s="325" t="str">
        <f t="shared" si="101"/>
        <v xml:space="preserve">Een periodieke meting bestaat uit drie deelmetingen van 15-30 minuten. De metingen mogen worden uitgevoerd door een geaccrediteerde laboratorium volgens NEN-EN 13284-1 (art. 4.1354). </v>
      </c>
      <c r="AQ74" s="325" t="str">
        <f t="shared" si="101"/>
        <v>De aangetoonde meetonzekerheid mag niet groter zijn dan 30% van de emissie-eis (art. 4.1354 en art. 4.1361).</v>
      </c>
      <c r="AR74" s="325"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6"/>
      <c r="AT74" s="149"/>
      <c r="AU74" s="150"/>
      <c r="AV74" s="150"/>
      <c r="AW74" s="150"/>
      <c r="AX74" s="151"/>
    </row>
    <row r="75" spans="1:50" x14ac:dyDescent="0.2">
      <c r="A75" s="584"/>
      <c r="B75" s="585"/>
      <c r="C75" s="586"/>
      <c r="D75" s="587"/>
      <c r="E75" s="588"/>
      <c r="F75" s="588"/>
      <c r="G75" s="589"/>
      <c r="H75" s="589"/>
      <c r="I75" s="590"/>
      <c r="J75" s="589"/>
      <c r="K75" s="590"/>
      <c r="L75" s="589"/>
      <c r="M75" s="591"/>
      <c r="N75" s="589"/>
      <c r="O75" s="592"/>
      <c r="P75" s="593"/>
      <c r="Q75" s="594"/>
      <c r="R75" s="595"/>
      <c r="S75" s="595"/>
      <c r="T75" s="595"/>
      <c r="U75" s="596"/>
      <c r="V75" s="596"/>
      <c r="W75" s="596"/>
      <c r="X75" s="596"/>
      <c r="Y75" s="597"/>
      <c r="Z75" s="598"/>
      <c r="AA75" s="599"/>
      <c r="AB75" s="598"/>
      <c r="AC75" s="600"/>
      <c r="AD75" s="601"/>
      <c r="AE75" s="602"/>
      <c r="AF75" s="603"/>
      <c r="AG75" s="589"/>
      <c r="AH75" s="638"/>
      <c r="AI75" s="647"/>
      <c r="AJ75" s="604"/>
      <c r="AK75" s="628"/>
      <c r="AL75" s="589"/>
      <c r="AM75" s="657"/>
      <c r="AN75" s="837"/>
      <c r="AO75" s="606"/>
      <c r="AP75" s="606"/>
      <c r="AQ75" s="606"/>
      <c r="AR75" s="606"/>
      <c r="AS75" s="595"/>
      <c r="AT75" s="606"/>
      <c r="AU75" s="607"/>
      <c r="AV75" s="607"/>
      <c r="AW75" s="607"/>
      <c r="AX75" s="597"/>
    </row>
    <row r="76" spans="1:50" x14ac:dyDescent="0.2">
      <c r="A76" s="393" t="s">
        <v>291</v>
      </c>
      <c r="B76" s="394"/>
      <c r="C76" s="395"/>
      <c r="D76" s="396"/>
      <c r="E76" s="397"/>
      <c r="F76" s="397"/>
      <c r="G76" s="398"/>
      <c r="H76" s="398"/>
      <c r="I76" s="399"/>
      <c r="J76" s="398"/>
      <c r="K76" s="399"/>
      <c r="L76" s="398"/>
      <c r="M76" s="400"/>
      <c r="N76" s="398"/>
      <c r="O76" s="401"/>
      <c r="P76" s="402"/>
      <c r="Q76" s="403"/>
      <c r="R76" s="404"/>
      <c r="S76" s="404"/>
      <c r="T76" s="404"/>
      <c r="U76" s="405"/>
      <c r="V76" s="405"/>
      <c r="W76" s="405"/>
      <c r="X76" s="405"/>
      <c r="Y76" s="406"/>
      <c r="Z76" s="407"/>
      <c r="AA76" s="408"/>
      <c r="AB76" s="407"/>
      <c r="AC76" s="409"/>
      <c r="AD76" s="410"/>
      <c r="AE76" s="411"/>
      <c r="AF76" s="412"/>
      <c r="AG76" s="398"/>
      <c r="AH76" s="639"/>
      <c r="AI76" s="648"/>
      <c r="AJ76" s="413"/>
      <c r="AK76" s="629"/>
      <c r="AL76" s="398"/>
      <c r="AM76" s="658"/>
      <c r="AN76" s="838"/>
      <c r="AO76" s="333" t="s">
        <v>501</v>
      </c>
      <c r="AP76" s="333" t="s">
        <v>280</v>
      </c>
      <c r="AQ76" s="333" t="s">
        <v>537</v>
      </c>
      <c r="AR76" s="333" t="s">
        <v>538</v>
      </c>
      <c r="AS76" s="327"/>
      <c r="AT76" s="330"/>
      <c r="AU76" s="331"/>
      <c r="AV76" s="331"/>
      <c r="AW76" s="331"/>
      <c r="AX76" s="328"/>
    </row>
    <row r="77" spans="1:50" x14ac:dyDescent="0.2">
      <c r="A77" s="295"/>
      <c r="B77" s="339">
        <f t="shared" ref="B77" ca="1" si="103">IF(AND(SUM(D77:K77,L77:M77)=COUNT(D77:K77,L77:M77),COUNT(D77:K77,L77:M77)&gt;0),ROW(B77),0)</f>
        <v>0</v>
      </c>
      <c r="C77" s="249">
        <f t="shared" ref="C77" ca="1" si="104">IF(AND(SUM(D77:K77,N77:O77)=COUNT(D77:K77,N77:O77),COUNT(D77:K77,N77:O77)&gt;0),ROW(B77),0)</f>
        <v>0</v>
      </c>
      <c r="D77" s="246">
        <f ca="1">IF(AND(OR($Z77="",INGVAN="",$Z77&lt;=INGVAN),OR($Z77="",INGTOT="",$Z77&lt;=INGTOT),OR($AA77="",INGVAN="",$AA77&gt;=INGVAN),OR($AA77="",INGTOT="",$AA77&gt;=INGTOT)),1,0)</f>
        <v>1</v>
      </c>
      <c r="E77" s="247">
        <f t="shared" ref="E77" ca="1" si="105">IF(AND(OR($AB77="",Tdatum&gt;=$AB77,AND(AB77&lt;&gt;"",ISNUMBER(FIND("j",LOWER(AD77))))),OR($AC77="",Tdatum&lt;=$AC77)),1,0)</f>
        <v>1</v>
      </c>
      <c r="F77" s="247">
        <f t="shared" ca="1" si="16"/>
        <v>1</v>
      </c>
      <c r="G77" s="147">
        <f ca="1">IF(AND(TSI=3,Afvalvernietiging=FALSE),1,0)</f>
        <v>0</v>
      </c>
      <c r="H77" s="147"/>
      <c r="I77" s="148"/>
      <c r="J77" s="147"/>
      <c r="K77" s="148"/>
      <c r="L77" s="147">
        <f ca="1">IF(TBRAND1&lt;&gt;3,1,0)</f>
        <v>1</v>
      </c>
      <c r="M77" s="56"/>
      <c r="N77" s="147">
        <f ca="1">IF(AND(ABRAND2&gt;0,TBRAND2&lt;&gt;3),1,0)</f>
        <v>0</v>
      </c>
      <c r="O77" s="148"/>
      <c r="P77" s="291" t="s">
        <v>41</v>
      </c>
      <c r="Q77" s="149" t="s">
        <v>282</v>
      </c>
      <c r="R77" s="149" t="s">
        <v>278</v>
      </c>
      <c r="S77" s="149">
        <v>0.1</v>
      </c>
      <c r="T77" s="149"/>
      <c r="U77" s="150" t="s">
        <v>533</v>
      </c>
      <c r="V77" s="150"/>
      <c r="W77" s="150"/>
      <c r="X77" s="150"/>
      <c r="Y77" s="151"/>
      <c r="Z77" s="143"/>
      <c r="AA77" s="144"/>
      <c r="AB77" s="143"/>
      <c r="AC77" s="145"/>
      <c r="AD77" s="146"/>
      <c r="AE77" s="276" t="s">
        <v>273</v>
      </c>
      <c r="AF77" s="152" t="s">
        <v>389</v>
      </c>
      <c r="AG77" s="147"/>
      <c r="AH77" s="636" t="str">
        <f ca="1">CONCATENATE(" eis geldt vanaf een emissie vanaf ",U77,". ",IF(ParBAL2="4.126","Voor deze eis is maatwerk nodig, omdat deze installatie onder paragraaf 4.126 valt.",""))</f>
        <v xml:space="preserve"> eis geldt vanaf een emissie vanaf 100 kg/jaar. </v>
      </c>
      <c r="AI77" s="645"/>
      <c r="AJ77" s="269"/>
      <c r="AK77" s="626"/>
      <c r="AL77" s="147"/>
      <c r="AM77" s="655"/>
      <c r="AN77" s="845"/>
      <c r="AO77" s="149" t="str">
        <f t="shared" ref="AO77" si="106">AO$76</f>
        <v>Meetverplichting volgt uit de storingsfactor (zie art. 5.32)</v>
      </c>
      <c r="AP77" s="149" t="str">
        <f t="shared" ref="AP77:AR77" si="107">AP$76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77" s="149" t="str">
        <f t="shared" si="107"/>
        <v>De aangetoonde meetonzekerheid mag niet groter zijn dan 30% van de emissie-eis (tabel 5.36).</v>
      </c>
      <c r="AR77" s="149" t="str">
        <f t="shared" si="107"/>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77" s="149"/>
      <c r="AT77" s="149"/>
      <c r="AU77" s="150"/>
      <c r="AV77" s="150"/>
      <c r="AW77" s="150"/>
      <c r="AX77" s="151"/>
    </row>
    <row r="78" spans="1:50" x14ac:dyDescent="0.2">
      <c r="A78" s="295"/>
      <c r="B78" s="340"/>
      <c r="C78" s="341"/>
      <c r="D78" s="326"/>
      <c r="E78" s="46"/>
      <c r="F78" s="46"/>
      <c r="G78" s="147"/>
      <c r="H78" s="147"/>
      <c r="I78" s="148"/>
      <c r="J78" s="147"/>
      <c r="K78" s="148"/>
      <c r="L78" s="147"/>
      <c r="M78" s="56"/>
      <c r="N78" s="147"/>
      <c r="O78" s="59"/>
      <c r="P78" s="279"/>
      <c r="Q78" s="160"/>
      <c r="R78" s="149"/>
      <c r="S78" s="149"/>
      <c r="T78" s="149"/>
      <c r="U78" s="150"/>
      <c r="V78" s="150"/>
      <c r="W78" s="150"/>
      <c r="X78" s="150"/>
      <c r="Y78" s="151"/>
      <c r="Z78" s="143"/>
      <c r="AA78" s="144"/>
      <c r="AB78" s="143"/>
      <c r="AC78" s="145"/>
      <c r="AD78" s="146"/>
      <c r="AE78" s="276"/>
      <c r="AF78" s="152"/>
      <c r="AG78" s="147"/>
      <c r="AH78" s="636"/>
      <c r="AI78" s="645"/>
      <c r="AJ78" s="269"/>
      <c r="AK78" s="626"/>
      <c r="AL78" s="147"/>
      <c r="AM78" s="655"/>
      <c r="AN78" s="835"/>
      <c r="AO78" s="155"/>
      <c r="AP78" s="155"/>
      <c r="AQ78" s="155"/>
      <c r="AR78" s="155"/>
      <c r="AS78" s="149"/>
      <c r="AT78" s="155"/>
      <c r="AU78" s="157"/>
      <c r="AV78" s="157"/>
      <c r="AW78" s="157"/>
      <c r="AX78" s="151"/>
    </row>
    <row r="79" spans="1:50" x14ac:dyDescent="0.2">
      <c r="A79" s="363" t="s">
        <v>341</v>
      </c>
      <c r="B79" s="364"/>
      <c r="C79" s="365"/>
      <c r="D79" s="366"/>
      <c r="E79" s="367"/>
      <c r="F79" s="367"/>
      <c r="G79" s="368"/>
      <c r="H79" s="368"/>
      <c r="I79" s="369"/>
      <c r="J79" s="368"/>
      <c r="K79" s="369"/>
      <c r="L79" s="368"/>
      <c r="M79" s="370"/>
      <c r="N79" s="368"/>
      <c r="O79" s="371"/>
      <c r="P79" s="372"/>
      <c r="Q79" s="373"/>
      <c r="R79" s="374"/>
      <c r="S79" s="374"/>
      <c r="T79" s="374"/>
      <c r="U79" s="375"/>
      <c r="V79" s="375"/>
      <c r="W79" s="375"/>
      <c r="X79" s="375"/>
      <c r="Y79" s="376"/>
      <c r="Z79" s="377"/>
      <c r="AA79" s="378"/>
      <c r="AB79" s="377"/>
      <c r="AC79" s="379"/>
      <c r="AD79" s="380"/>
      <c r="AE79" s="381"/>
      <c r="AF79" s="382"/>
      <c r="AG79" s="368"/>
      <c r="AH79" s="637"/>
      <c r="AI79" s="646"/>
      <c r="AJ79" s="383"/>
      <c r="AK79" s="627"/>
      <c r="AL79" s="368"/>
      <c r="AM79" s="656"/>
      <c r="AN79" s="836"/>
      <c r="AO79" s="346"/>
      <c r="AP79" s="346"/>
      <c r="AQ79" s="346"/>
      <c r="AR79" s="346"/>
      <c r="AS79" s="346"/>
      <c r="AT79" s="336"/>
      <c r="AU79" s="337"/>
      <c r="AV79" s="337"/>
      <c r="AW79" s="337"/>
      <c r="AX79" s="335"/>
    </row>
    <row r="80" spans="1:50" x14ac:dyDescent="0.2">
      <c r="A80" s="295"/>
      <c r="B80" s="339">
        <f t="shared" ref="B80" ca="1" si="108">IF(AND(SUM(D80:K80,L80:M80)=COUNT(D80:K80,L80:M80),COUNT(D80:K80,L80:M80)&gt;0),ROW(B80),0)</f>
        <v>0</v>
      </c>
      <c r="C80" s="249">
        <f t="shared" ref="C80" ca="1" si="109">IF(AND(SUM(D80:K80,N80:O80)=COUNT(D80:K80,N80:O80),COUNT(D80:K80,N80:O80)&gt;0),ROW(B80),0)</f>
        <v>0</v>
      </c>
      <c r="D80" s="246">
        <f ca="1">IF(AND(OR($Z80="",INGVAN="",$Z80&lt;=INGVAN),OR($Z80="",INGTOT="",$Z80&lt;=INGTOT),OR($AA80="",INGVAN="",$AA80&gt;=INGVAN),OR($AA80="",INGTOT="",$AA80&gt;=INGTOT)),1,0)</f>
        <v>1</v>
      </c>
      <c r="E80" s="247">
        <f t="shared" ref="E80" ca="1" si="110">IF(AND(OR($AB80="",Tdatum&gt;=$AB80,AND(AB80&lt;&gt;"",ISNUMBER(FIND("j",LOWER(AD80))))),OR($AC80="",Tdatum&lt;=$AC80)),1,0)</f>
        <v>1</v>
      </c>
      <c r="F80" s="247">
        <f t="shared" ref="F80" ca="1" si="111">IF(AND(OR($S80="",MW&gt;=$S80),OR($T80="",$T80&gt;MW)),1,0)</f>
        <v>1</v>
      </c>
      <c r="G80" s="147">
        <f ca="1">IF(TSI=3,1,0)</f>
        <v>0</v>
      </c>
      <c r="H80" s="147"/>
      <c r="I80" s="148"/>
      <c r="J80" s="147"/>
      <c r="K80" s="148"/>
      <c r="L80" s="147">
        <f ca="1">IF(TBRAND1&lt;&gt;3,1,0)</f>
        <v>1</v>
      </c>
      <c r="M80" s="56"/>
      <c r="N80" s="147">
        <f ca="1">IF(AND(ABRAND2&gt;0,TBRAND2&lt;&gt;3),1,0)</f>
        <v>0</v>
      </c>
      <c r="O80" s="59"/>
      <c r="P80" s="279" t="s">
        <v>41</v>
      </c>
      <c r="Q80" s="149" t="s">
        <v>532</v>
      </c>
      <c r="R80" s="149" t="s">
        <v>277</v>
      </c>
      <c r="S80" s="149">
        <v>0.1</v>
      </c>
      <c r="T80" s="149"/>
      <c r="U80" s="150" t="s">
        <v>533</v>
      </c>
      <c r="V80" s="150"/>
      <c r="W80" s="150"/>
      <c r="X80" s="150"/>
      <c r="Y80" s="151"/>
      <c r="Z80" s="143"/>
      <c r="AA80" s="144">
        <f>IWTBAL-1</f>
        <v>45291</v>
      </c>
      <c r="AB80" s="143"/>
      <c r="AC80" s="816">
        <f>IWTBAL+4*365</f>
        <v>46752</v>
      </c>
      <c r="AD80" s="146"/>
      <c r="AE80" s="276" t="s">
        <v>273</v>
      </c>
      <c r="AF80" s="152" t="s">
        <v>372</v>
      </c>
      <c r="AG80" s="147"/>
      <c r="AH80" s="636" t="str">
        <f ca="1">CONCATENATE(" eis geldt vanaf een emissie vanaf ",U80,". ",IF(ParBAL1="4.126","Voor deze eis is maatwerk nodig, omdat deze installatie onder paragraaf 4.126 valt.",""))</f>
        <v xml:space="preserve"> eis geldt vanaf een emissie vanaf 100 kg/jaar. Voor deze eis is maatwerk nodig, omdat deze installatie onder paragraaf 4.126 valt.</v>
      </c>
      <c r="AI80" s="645"/>
      <c r="AJ80" s="269"/>
      <c r="AK80" s="626"/>
      <c r="AL80" s="147"/>
      <c r="AM80" s="655"/>
      <c r="AN80" s="845"/>
      <c r="AO80" s="149" t="str">
        <f t="shared" ref="AO80:AR80" si="112">AO$76</f>
        <v>Meetverplichting volgt uit de storingsfactor (zie art. 5.32)</v>
      </c>
      <c r="AP80" s="149" t="str">
        <f t="shared" si="112"/>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0" s="149" t="str">
        <f t="shared" si="112"/>
        <v>De aangetoonde meetonzekerheid mag niet groter zijn dan 30% van de emissie-eis (tabel 5.36).</v>
      </c>
      <c r="AR80" s="149" t="str">
        <f t="shared" si="112"/>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80" s="149"/>
      <c r="AT80" s="149"/>
      <c r="AU80" s="150"/>
      <c r="AV80" s="150"/>
      <c r="AW80" s="150"/>
      <c r="AX80" s="151"/>
    </row>
    <row r="81" spans="1:50" x14ac:dyDescent="0.2">
      <c r="A81" s="584"/>
      <c r="B81" s="585"/>
      <c r="C81" s="586"/>
      <c r="D81" s="608"/>
      <c r="E81" s="589"/>
      <c r="F81" s="589"/>
      <c r="G81" s="589"/>
      <c r="H81" s="589"/>
      <c r="I81" s="590"/>
      <c r="J81" s="589"/>
      <c r="K81" s="590"/>
      <c r="L81" s="589"/>
      <c r="M81" s="590"/>
      <c r="N81" s="590"/>
      <c r="O81" s="590"/>
      <c r="P81" s="593"/>
      <c r="Q81" s="595"/>
      <c r="R81" s="595"/>
      <c r="S81" s="595"/>
      <c r="T81" s="595"/>
      <c r="U81" s="596"/>
      <c r="V81" s="596"/>
      <c r="W81" s="596"/>
      <c r="X81" s="596"/>
      <c r="Y81" s="597"/>
      <c r="Z81" s="598"/>
      <c r="AA81" s="599"/>
      <c r="AB81" s="598"/>
      <c r="AC81" s="600"/>
      <c r="AD81" s="601"/>
      <c r="AE81" s="602"/>
      <c r="AF81" s="603"/>
      <c r="AG81" s="589"/>
      <c r="AH81" s="638"/>
      <c r="AI81" s="647"/>
      <c r="AJ81" s="604"/>
      <c r="AK81" s="628"/>
      <c r="AL81" s="589"/>
      <c r="AM81" s="657"/>
      <c r="AN81" s="846"/>
      <c r="AO81" s="595"/>
      <c r="AP81" s="595"/>
      <c r="AQ81" s="595"/>
      <c r="AR81" s="595"/>
      <c r="AS81" s="595"/>
      <c r="AT81" s="595"/>
      <c r="AU81" s="596"/>
      <c r="AV81" s="596"/>
      <c r="AW81" s="596"/>
      <c r="AX81" s="597"/>
    </row>
    <row r="82" spans="1:50" x14ac:dyDescent="0.2">
      <c r="A82" s="393" t="s">
        <v>290</v>
      </c>
      <c r="B82" s="394"/>
      <c r="C82" s="395"/>
      <c r="D82" s="396"/>
      <c r="E82" s="397"/>
      <c r="F82" s="397"/>
      <c r="G82" s="398"/>
      <c r="H82" s="398"/>
      <c r="I82" s="399"/>
      <c r="J82" s="398"/>
      <c r="K82" s="399"/>
      <c r="L82" s="398"/>
      <c r="M82" s="400"/>
      <c r="N82" s="398"/>
      <c r="O82" s="401"/>
      <c r="P82" s="402"/>
      <c r="Q82" s="403"/>
      <c r="R82" s="404"/>
      <c r="S82" s="404"/>
      <c r="T82" s="404"/>
      <c r="U82" s="405"/>
      <c r="V82" s="405"/>
      <c r="W82" s="405"/>
      <c r="X82" s="405"/>
      <c r="Y82" s="406"/>
      <c r="Z82" s="407"/>
      <c r="AA82" s="408"/>
      <c r="AB82" s="407"/>
      <c r="AC82" s="409"/>
      <c r="AD82" s="410"/>
      <c r="AE82" s="411"/>
      <c r="AF82" s="412"/>
      <c r="AG82" s="398"/>
      <c r="AH82" s="639"/>
      <c r="AI82" s="648"/>
      <c r="AJ82" s="413"/>
      <c r="AK82" s="629"/>
      <c r="AL82" s="398"/>
      <c r="AM82" s="658"/>
      <c r="AN82" s="847"/>
      <c r="AO82" s="330"/>
      <c r="AP82" s="330"/>
      <c r="AQ82" s="330"/>
      <c r="AR82" s="330"/>
      <c r="AS82" s="327"/>
      <c r="AT82" s="330"/>
      <c r="AU82" s="331"/>
      <c r="AV82" s="331"/>
      <c r="AW82" s="331"/>
      <c r="AX82" s="328"/>
    </row>
    <row r="83" spans="1:50" x14ac:dyDescent="0.2">
      <c r="A83" s="334"/>
      <c r="B83" s="340"/>
      <c r="C83" s="341"/>
      <c r="D83" s="338"/>
      <c r="E83" s="46"/>
      <c r="F83" s="46"/>
      <c r="G83" s="147"/>
      <c r="H83" s="147"/>
      <c r="I83" s="148"/>
      <c r="J83" s="147"/>
      <c r="K83" s="148"/>
      <c r="L83" s="147"/>
      <c r="M83" s="56"/>
      <c r="N83" s="148"/>
      <c r="O83" s="56"/>
      <c r="P83" s="279"/>
      <c r="Q83" s="160"/>
      <c r="R83" s="149"/>
      <c r="S83" s="149"/>
      <c r="T83" s="149"/>
      <c r="U83" s="150"/>
      <c r="V83" s="150"/>
      <c r="W83" s="150"/>
      <c r="X83" s="150"/>
      <c r="Y83" s="151"/>
      <c r="Z83" s="143"/>
      <c r="AA83" s="144"/>
      <c r="AB83" s="143"/>
      <c r="AC83" s="145"/>
      <c r="AD83" s="146"/>
      <c r="AE83" s="276"/>
      <c r="AF83" s="152"/>
      <c r="AG83" s="147"/>
      <c r="AH83" s="636"/>
      <c r="AI83" s="645"/>
      <c r="AJ83" s="269"/>
      <c r="AK83" s="626"/>
      <c r="AL83" s="147"/>
      <c r="AM83" s="655"/>
      <c r="AN83" s="835"/>
      <c r="AO83" s="155"/>
      <c r="AP83" s="155"/>
      <c r="AQ83" s="155"/>
      <c r="AR83" s="155"/>
      <c r="AS83" s="149"/>
      <c r="AT83" s="155"/>
      <c r="AU83" s="157"/>
      <c r="AV83" s="157"/>
      <c r="AW83" s="157"/>
      <c r="AX83" s="151"/>
    </row>
    <row r="84" spans="1:50" ht="12" thickBot="1" x14ac:dyDescent="0.25">
      <c r="A84" s="297"/>
      <c r="B84" s="343"/>
      <c r="C84" s="344"/>
      <c r="D84" s="161"/>
      <c r="E84" s="161"/>
      <c r="F84" s="161"/>
      <c r="G84" s="161"/>
      <c r="H84" s="161"/>
      <c r="I84" s="162"/>
      <c r="J84" s="161"/>
      <c r="K84" s="162"/>
      <c r="L84" s="161"/>
      <c r="M84" s="162"/>
      <c r="N84" s="162"/>
      <c r="O84" s="162"/>
      <c r="P84" s="280"/>
      <c r="Q84" s="163"/>
      <c r="R84" s="163"/>
      <c r="S84" s="163"/>
      <c r="T84" s="163"/>
      <c r="U84" s="164"/>
      <c r="V84" s="164"/>
      <c r="W84" s="164"/>
      <c r="X84" s="164"/>
      <c r="Y84" s="165"/>
      <c r="Z84" s="166"/>
      <c r="AA84" s="167"/>
      <c r="AB84" s="166"/>
      <c r="AC84" s="168"/>
      <c r="AD84" s="169"/>
      <c r="AE84" s="278"/>
      <c r="AF84" s="171"/>
      <c r="AG84" s="161"/>
      <c r="AH84" s="640"/>
      <c r="AI84" s="649"/>
      <c r="AJ84" s="270"/>
      <c r="AK84" s="632"/>
      <c r="AL84" s="161"/>
      <c r="AM84" s="659"/>
      <c r="AN84" s="848"/>
      <c r="AO84" s="163"/>
      <c r="AP84" s="163"/>
      <c r="AQ84" s="163"/>
      <c r="AR84" s="163"/>
      <c r="AS84" s="163"/>
      <c r="AT84" s="163"/>
      <c r="AU84" s="164"/>
      <c r="AV84" s="164"/>
      <c r="AW84" s="164"/>
      <c r="AX84" s="165"/>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63</vt:i4>
      </vt:variant>
    </vt:vector>
  </HeadingPairs>
  <TitlesOfParts>
    <vt:vector size="81" baseType="lpstr">
      <vt:lpstr>Eisen</vt:lpstr>
      <vt:lpstr>Wijzigingen</vt:lpstr>
      <vt:lpstr>Beschrijving</vt:lpstr>
      <vt:lpstr>Data</vt:lpstr>
      <vt:lpstr>Regelgeving</vt:lpstr>
      <vt:lpstr>NOx</vt:lpstr>
      <vt:lpstr>CO</vt:lpstr>
      <vt:lpstr>SO2</vt:lpstr>
      <vt:lpstr>Stof</vt:lpstr>
      <vt:lpstr>CxHy</vt:lpstr>
      <vt:lpstr>HCl</vt:lpstr>
      <vt:lpstr>HF</vt:lpstr>
      <vt:lpstr>NH3</vt:lpstr>
      <vt:lpstr>Kwik</vt:lpstr>
      <vt:lpstr>Cd_en_Tl</vt:lpstr>
      <vt:lpstr>Zware_Metalen</vt:lpstr>
      <vt:lpstr>Dioxines</vt:lpstr>
      <vt:lpstr>Formaldehyde</vt:lpstr>
      <vt:lpstr>ABRAND2</vt:lpstr>
      <vt:lpstr>Cd_en_Tl!Afdrukbereik</vt:lpstr>
      <vt:lpstr>CO!Afdrukbereik</vt:lpstr>
      <vt:lpstr>CxHy!Afdrukbereik</vt:lpstr>
      <vt:lpstr>Dioxines!Afdrukbereik</vt:lpstr>
      <vt:lpstr>Formaldehyde!Afdrukbereik</vt:lpstr>
      <vt:lpstr>HCl!Afdrukbereik</vt:lpstr>
      <vt:lpstr>HF!Afdrukbereik</vt:lpstr>
      <vt:lpstr>Kwik!Afdrukbereik</vt:lpstr>
      <vt:lpstr>'NH3'!Afdrukbereik</vt:lpstr>
      <vt:lpstr>NOx!Afdrukbereik</vt:lpstr>
      <vt:lpstr>Regelgeving!Afdrukbereik</vt:lpstr>
      <vt:lpstr>'SO2'!Afdrukbereik</vt:lpstr>
      <vt:lpstr>Stof!Afdrukbereik</vt:lpstr>
      <vt:lpstr>Zware_Metalen!Afdrukbereik</vt:lpstr>
      <vt:lpstr>Afvalvernietiging</vt:lpstr>
      <vt:lpstr>BRAND1</vt:lpstr>
      <vt:lpstr>BRAND1txt</vt:lpstr>
      <vt:lpstr>BRAND2</vt:lpstr>
      <vt:lpstr>BRAND2txt</vt:lpstr>
      <vt:lpstr>BT500uur</vt:lpstr>
      <vt:lpstr>Doel</vt:lpstr>
      <vt:lpstr>EnergieUitAfval</vt:lpstr>
      <vt:lpstr>FBRAND1</vt:lpstr>
      <vt:lpstr>FBRAND2</vt:lpstr>
      <vt:lpstr>Geldig</vt:lpstr>
      <vt:lpstr>INGTOT</vt:lpstr>
      <vt:lpstr>INGVAN</vt:lpstr>
      <vt:lpstr>IPPCbest</vt:lpstr>
      <vt:lpstr>IWTBAL</vt:lpstr>
      <vt:lpstr>IWTBALtxt</vt:lpstr>
      <vt:lpstr>IWTH2</vt:lpstr>
      <vt:lpstr>IWTLCP</vt:lpstr>
      <vt:lpstr>IWTLCPbest</vt:lpstr>
      <vt:lpstr>IWTLCPbesttxt</vt:lpstr>
      <vt:lpstr>IWTMCP</vt:lpstr>
      <vt:lpstr>IWTMCPbest</vt:lpstr>
      <vt:lpstr>IWTMCPbesttxt</vt:lpstr>
      <vt:lpstr>IWTWIbest</vt:lpstr>
      <vt:lpstr>MCPbest</vt:lpstr>
      <vt:lpstr>MW</vt:lpstr>
      <vt:lpstr>O2BRAND1</vt:lpstr>
      <vt:lpstr>O2BRAND2</vt:lpstr>
      <vt:lpstr>Offshore</vt:lpstr>
      <vt:lpstr>ParBAL</vt:lpstr>
      <vt:lpstr>ParBAL1</vt:lpstr>
      <vt:lpstr>ParBAL2</vt:lpstr>
      <vt:lpstr>SCPbest</vt:lpstr>
      <vt:lpstr>SCPbestbio</vt:lpstr>
      <vt:lpstr>SI</vt:lpstr>
      <vt:lpstr>SItxt</vt:lpstr>
      <vt:lpstr>SPECSI</vt:lpstr>
      <vt:lpstr>TBRAND1</vt:lpstr>
      <vt:lpstr>TBRAND1txt</vt:lpstr>
      <vt:lpstr>TBRAND2</vt:lpstr>
      <vt:lpstr>TBRAND2txt</vt:lpstr>
      <vt:lpstr>Tdatum</vt:lpstr>
      <vt:lpstr>Tdatumtxt</vt:lpstr>
      <vt:lpstr>TMW</vt:lpstr>
      <vt:lpstr>TSI</vt:lpstr>
      <vt:lpstr>TSItxt</vt:lpstr>
      <vt:lpstr>Uren</vt:lpstr>
      <vt:lpstr>Versie</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Burgers, Wim (WVL)</dc:creator>
  <cp:lastModifiedBy>Burgers, Wim (WVL)</cp:lastModifiedBy>
  <cp:lastPrinted>2021-01-27T11:10:54Z</cp:lastPrinted>
  <dcterms:created xsi:type="dcterms:W3CDTF">2018-11-27T04:55:39Z</dcterms:created>
  <dcterms:modified xsi:type="dcterms:W3CDTF">2023-12-20T12:39:55Z</dcterms:modified>
</cp:coreProperties>
</file>